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PERSÖNLICHER ORDNER\HAYSEN\FairPay\2025\Unterlagen für Homepage\"/>
    </mc:Choice>
  </mc:AlternateContent>
  <xr:revisionPtr revIDLastSave="0" documentId="8_{5A7A8475-E696-483D-9A4D-67ED9DD519B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ersonalkosten" sheetId="1" r:id="rId1"/>
    <sheet name="Honorare Organisat.Tätigkeiten" sheetId="3" r:id="rId2"/>
    <sheet name="Honorare Bildende Kunst" sheetId="8" r:id="rId3"/>
    <sheet name="Honorare Darstellende Kunst" sheetId="9" r:id="rId4"/>
    <sheet name="Honorare Musik" sheetId="10" r:id="rId5"/>
    <sheet name="Honorare Literatur" sheetId="11" r:id="rId6"/>
    <sheet name="Hilfsblatt" sheetId="12" state="hidden" r:id="rId7"/>
    <sheet name="Gehaltsschema Personalkosten" sheetId="7" state="hidden" r:id="rId8"/>
  </sheets>
  <definedNames>
    <definedName name="AnzahlPersonen">wenns('Honorare Musik'!$A$8="Konzert regionaler Act (bis zu 4 Personen)",Hilfsblatt!$D$4:$D$7,'Honorare Musik'!$A$8="Konzert nationaler Act (bis zu 4 Personen)",Hilfsblatt!$D$4:$D$7,'Honorare Musik'!$A$8="Konzert internationaler Act (bis zu 4 Personen)",Hilfsblatt!$D$4:$D$7+Hilfsblatt!$F$8:$G$8)</definedName>
    <definedName name="Beschäftigungsgruppe" localSheetId="2">#REF!</definedName>
    <definedName name="Beschäftigungsgruppe" localSheetId="3">#REF!</definedName>
    <definedName name="Beschäftigungsgruppe" localSheetId="5">#REF!</definedName>
    <definedName name="Beschäftigungsgruppe" localSheetId="4">#REF!</definedName>
    <definedName name="Beschäftigungsgruppe">#REF!</definedName>
    <definedName name="Bildende">Hilfsblatt!$J$4:$J$7</definedName>
    <definedName name="_xlnm.Print_Area" localSheetId="2">'Honorare Bildende Kunst'!$A$1:$N$40</definedName>
    <definedName name="_xlnm.Print_Area" localSheetId="3">'Honorare Darstellende Kunst'!$A$1:$P$40</definedName>
    <definedName name="_xlnm.Print_Area" localSheetId="5">'Honorare Literatur'!$A$1:$N$40</definedName>
    <definedName name="_xlnm.Print_Area" localSheetId="4">'Honorare Musik'!$A$1:$M$40</definedName>
    <definedName name="_xlnm.Print_Area" localSheetId="1">'Honorare Organisat.Tätigkeiten'!$A$1:$N$40</definedName>
    <definedName name="_xlnm.Print_Area" localSheetId="0">Personalkosten!$A$1:$P$40</definedName>
    <definedName name="Ensemble">Hilfsblatt!$E$4:$E$9</definedName>
    <definedName name="Gehälter" localSheetId="2">#REF!</definedName>
    <definedName name="Gehälter" localSheetId="3">#REF!</definedName>
    <definedName name="Gehälter" localSheetId="5">#REF!</definedName>
    <definedName name="Gehälter" localSheetId="4">#REF!</definedName>
    <definedName name="Gehälter">#REF!</definedName>
    <definedName name="NULL">Hilfsblatt!$J$11</definedName>
    <definedName name="Orchester">Hilfsblatt!$F$4:$F$73</definedName>
    <definedName name="regional">Hilfsblatt!$D$4:$D$7</definedName>
    <definedName name="Vorstellungen1_2">Hilfsblatt!$B$15:$B$16</definedName>
    <definedName name="Vorstellungen3">Hilfsblatt!$C$15:$C$32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" l="1"/>
  <c r="I15" i="3"/>
  <c r="I11" i="3"/>
  <c r="I7" i="3"/>
  <c r="I21" i="8"/>
  <c r="I13" i="8"/>
  <c r="K19" i="9"/>
  <c r="I19" i="9"/>
  <c r="K11" i="9"/>
  <c r="I11" i="9"/>
  <c r="H19" i="10"/>
  <c r="H11" i="10"/>
  <c r="H22" i="1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E8" i="3"/>
  <c r="I8" i="3" s="1"/>
  <c r="E9" i="3"/>
  <c r="I9" i="3" s="1"/>
  <c r="E10" i="3"/>
  <c r="I10" i="3" s="1"/>
  <c r="E11" i="3"/>
  <c r="E12" i="3"/>
  <c r="I12" i="3" s="1"/>
  <c r="E13" i="3"/>
  <c r="I13" i="3" s="1"/>
  <c r="E14" i="3"/>
  <c r="I14" i="3" s="1"/>
  <c r="E15" i="3"/>
  <c r="E16" i="3"/>
  <c r="I16" i="3" s="1"/>
  <c r="E17" i="3"/>
  <c r="I17" i="3" s="1"/>
  <c r="E18" i="3"/>
  <c r="I18" i="3" s="1"/>
  <c r="E19" i="3"/>
  <c r="E20" i="3"/>
  <c r="I20" i="3" s="1"/>
  <c r="E21" i="3"/>
  <c r="I21" i="3" s="1"/>
  <c r="E22" i="3"/>
  <c r="I22" i="3" s="1"/>
  <c r="E8" i="8"/>
  <c r="I8" i="8" s="1"/>
  <c r="E9" i="8"/>
  <c r="I9" i="8" s="1"/>
  <c r="E10" i="8"/>
  <c r="I10" i="8" s="1"/>
  <c r="E11" i="8"/>
  <c r="I11" i="8" s="1"/>
  <c r="E12" i="8"/>
  <c r="I12" i="8" s="1"/>
  <c r="E13" i="8"/>
  <c r="E14" i="8"/>
  <c r="I14" i="8" s="1"/>
  <c r="E15" i="8"/>
  <c r="I15" i="8" s="1"/>
  <c r="E16" i="8"/>
  <c r="I16" i="8" s="1"/>
  <c r="E17" i="8"/>
  <c r="I17" i="8" s="1"/>
  <c r="E18" i="8"/>
  <c r="I18" i="8" s="1"/>
  <c r="E19" i="8"/>
  <c r="I19" i="8" s="1"/>
  <c r="E20" i="8"/>
  <c r="I20" i="8" s="1"/>
  <c r="E21" i="8"/>
  <c r="E22" i="8"/>
  <c r="I22" i="8" s="1"/>
  <c r="D8" i="10"/>
  <c r="H8" i="10" s="1"/>
  <c r="D9" i="10"/>
  <c r="H9" i="10" s="1"/>
  <c r="D10" i="10"/>
  <c r="H10" i="10" s="1"/>
  <c r="D11" i="10"/>
  <c r="D12" i="10"/>
  <c r="H12" i="10" s="1"/>
  <c r="D13" i="10"/>
  <c r="H13" i="10" s="1"/>
  <c r="D14" i="10"/>
  <c r="H14" i="10" s="1"/>
  <c r="D15" i="10"/>
  <c r="H15" i="10" s="1"/>
  <c r="D16" i="10"/>
  <c r="H16" i="10" s="1"/>
  <c r="D17" i="10"/>
  <c r="H17" i="10" s="1"/>
  <c r="D18" i="10"/>
  <c r="H18" i="10" s="1"/>
  <c r="D19" i="10"/>
  <c r="D20" i="10"/>
  <c r="H20" i="10" s="1"/>
  <c r="D21" i="10"/>
  <c r="H21" i="10" s="1"/>
  <c r="D22" i="10"/>
  <c r="H22" i="10" s="1"/>
  <c r="D8" i="11"/>
  <c r="D9" i="11"/>
  <c r="D10" i="11"/>
  <c r="D11" i="11"/>
  <c r="D12" i="11"/>
  <c r="D13" i="11"/>
  <c r="D14" i="11"/>
  <c r="D15" i="11"/>
  <c r="D16" i="11"/>
  <c r="D17" i="11"/>
  <c r="D18" i="11"/>
  <c r="D19" i="11"/>
  <c r="H19" i="11" s="1"/>
  <c r="D20" i="11"/>
  <c r="H20" i="11" s="1"/>
  <c r="D21" i="11"/>
  <c r="H21" i="11" s="1"/>
  <c r="D22" i="11"/>
  <c r="D7" i="11"/>
  <c r="D7" i="10"/>
  <c r="H7" i="10" s="1"/>
  <c r="B27" i="11"/>
  <c r="C27" i="11"/>
  <c r="J27" i="11"/>
  <c r="E7" i="8"/>
  <c r="I7" i="8" s="1"/>
  <c r="E7" i="3"/>
  <c r="H35" i="1"/>
  <c r="F35" i="1"/>
  <c r="D35" i="1"/>
  <c r="H34" i="1"/>
  <c r="F34" i="1"/>
  <c r="D34" i="1"/>
  <c r="I34" i="1" s="1"/>
  <c r="H33" i="1"/>
  <c r="F33" i="1"/>
  <c r="D33" i="1"/>
  <c r="H32" i="1"/>
  <c r="F32" i="1"/>
  <c r="D32" i="1"/>
  <c r="H35" i="3"/>
  <c r="F35" i="3"/>
  <c r="D35" i="3"/>
  <c r="H34" i="3"/>
  <c r="F34" i="3"/>
  <c r="D34" i="3"/>
  <c r="H33" i="3"/>
  <c r="F33" i="3"/>
  <c r="D33" i="3"/>
  <c r="H32" i="3"/>
  <c r="F32" i="3"/>
  <c r="D32" i="3"/>
  <c r="H35" i="8"/>
  <c r="F35" i="8"/>
  <c r="D35" i="8"/>
  <c r="H34" i="8"/>
  <c r="F34" i="8"/>
  <c r="D34" i="8"/>
  <c r="H33" i="8"/>
  <c r="F33" i="8"/>
  <c r="D33" i="8"/>
  <c r="H32" i="8"/>
  <c r="F32" i="8"/>
  <c r="D32" i="8"/>
  <c r="H35" i="9"/>
  <c r="F35" i="9"/>
  <c r="D35" i="9"/>
  <c r="H34" i="9"/>
  <c r="F34" i="9"/>
  <c r="D34" i="9"/>
  <c r="H33" i="9"/>
  <c r="F33" i="9"/>
  <c r="D33" i="9"/>
  <c r="H32" i="9"/>
  <c r="F32" i="9"/>
  <c r="D32" i="9"/>
  <c r="H35" i="10"/>
  <c r="F35" i="10"/>
  <c r="D35" i="10"/>
  <c r="H34" i="10"/>
  <c r="F34" i="10"/>
  <c r="D34" i="10"/>
  <c r="H33" i="10"/>
  <c r="F33" i="10"/>
  <c r="D33" i="10"/>
  <c r="H32" i="10"/>
  <c r="F32" i="10"/>
  <c r="D32" i="10"/>
  <c r="L12" i="7"/>
  <c r="K12" i="7"/>
  <c r="J12" i="7"/>
  <c r="I12" i="7"/>
  <c r="H12" i="7"/>
  <c r="G12" i="7"/>
  <c r="F12" i="7"/>
  <c r="E12" i="7"/>
  <c r="D12" i="7"/>
  <c r="C12" i="7"/>
  <c r="L11" i="7"/>
  <c r="K11" i="7"/>
  <c r="J11" i="7"/>
  <c r="I11" i="7"/>
  <c r="H11" i="7"/>
  <c r="G11" i="7"/>
  <c r="F11" i="7"/>
  <c r="E11" i="7"/>
  <c r="D11" i="7"/>
  <c r="C11" i="7"/>
  <c r="L10" i="7"/>
  <c r="K10" i="7"/>
  <c r="J10" i="7"/>
  <c r="I10" i="7"/>
  <c r="H10" i="7"/>
  <c r="G10" i="7"/>
  <c r="F10" i="7"/>
  <c r="E10" i="7"/>
  <c r="D10" i="7"/>
  <c r="C10" i="7"/>
  <c r="L9" i="7"/>
  <c r="K9" i="7"/>
  <c r="J9" i="7"/>
  <c r="I9" i="7"/>
  <c r="H9" i="7"/>
  <c r="G9" i="7"/>
  <c r="F9" i="7"/>
  <c r="E9" i="7"/>
  <c r="D9" i="7"/>
  <c r="C9" i="7"/>
  <c r="L8" i="7"/>
  <c r="K8" i="7"/>
  <c r="J8" i="7"/>
  <c r="I8" i="7"/>
  <c r="H8" i="7"/>
  <c r="G8" i="7"/>
  <c r="F8" i="7"/>
  <c r="E8" i="7"/>
  <c r="D8" i="7"/>
  <c r="C8" i="7"/>
  <c r="L7" i="7"/>
  <c r="K7" i="7"/>
  <c r="J7" i="7"/>
  <c r="I7" i="7"/>
  <c r="H7" i="7"/>
  <c r="G7" i="7"/>
  <c r="F7" i="7"/>
  <c r="E7" i="7"/>
  <c r="D7" i="7"/>
  <c r="C7" i="7"/>
  <c r="L6" i="7"/>
  <c r="K6" i="7"/>
  <c r="J6" i="7"/>
  <c r="I6" i="7"/>
  <c r="H6" i="7"/>
  <c r="G6" i="7"/>
  <c r="F6" i="7"/>
  <c r="E6" i="7"/>
  <c r="D6" i="7"/>
  <c r="C6" i="7"/>
  <c r="L5" i="7"/>
  <c r="K5" i="7"/>
  <c r="J5" i="7"/>
  <c r="I5" i="7"/>
  <c r="H5" i="7"/>
  <c r="G5" i="7"/>
  <c r="F5" i="7"/>
  <c r="E5" i="7"/>
  <c r="D5" i="7"/>
  <c r="C5" i="7"/>
  <c r="G8" i="9"/>
  <c r="K8" i="9" s="1"/>
  <c r="G9" i="9"/>
  <c r="K9" i="9" s="1"/>
  <c r="G10" i="9"/>
  <c r="K10" i="9" s="1"/>
  <c r="G11" i="9"/>
  <c r="G12" i="9"/>
  <c r="K12" i="9" s="1"/>
  <c r="G13" i="9"/>
  <c r="K13" i="9" s="1"/>
  <c r="G14" i="9"/>
  <c r="K14" i="9" s="1"/>
  <c r="G15" i="9"/>
  <c r="K15" i="9" s="1"/>
  <c r="G16" i="9"/>
  <c r="K16" i="9" s="1"/>
  <c r="G17" i="9"/>
  <c r="K17" i="9" s="1"/>
  <c r="G18" i="9"/>
  <c r="K18" i="9" s="1"/>
  <c r="G19" i="9"/>
  <c r="G20" i="9"/>
  <c r="K20" i="9" s="1"/>
  <c r="G21" i="9"/>
  <c r="K21" i="9" s="1"/>
  <c r="G22" i="9"/>
  <c r="K22" i="9" s="1"/>
  <c r="H8" i="9"/>
  <c r="I8" i="9" s="1"/>
  <c r="H9" i="9"/>
  <c r="I9" i="9" s="1"/>
  <c r="H10" i="9"/>
  <c r="I10" i="9" s="1"/>
  <c r="H11" i="9"/>
  <c r="H12" i="9"/>
  <c r="I12" i="9" s="1"/>
  <c r="H13" i="9"/>
  <c r="I13" i="9" s="1"/>
  <c r="H14" i="9"/>
  <c r="I14" i="9" s="1"/>
  <c r="H15" i="9"/>
  <c r="I15" i="9" s="1"/>
  <c r="H16" i="9"/>
  <c r="I16" i="9" s="1"/>
  <c r="H17" i="9"/>
  <c r="I17" i="9" s="1"/>
  <c r="H18" i="9"/>
  <c r="I18" i="9" s="1"/>
  <c r="H19" i="9"/>
  <c r="H20" i="9"/>
  <c r="I20" i="9" s="1"/>
  <c r="H21" i="9"/>
  <c r="I21" i="9" s="1"/>
  <c r="H22" i="9"/>
  <c r="I22" i="9" s="1"/>
  <c r="I35" i="10" l="1"/>
  <c r="I33" i="9"/>
  <c r="I32" i="3"/>
  <c r="I33" i="3"/>
  <c r="I32" i="1"/>
  <c r="I32" i="9"/>
  <c r="I35" i="9"/>
  <c r="I33" i="8"/>
  <c r="I34" i="3"/>
  <c r="I34" i="10"/>
  <c r="I32" i="10"/>
  <c r="I33" i="10"/>
  <c r="I34" i="9"/>
  <c r="I34" i="8"/>
  <c r="I32" i="8"/>
  <c r="I35" i="8"/>
  <c r="I35" i="3"/>
  <c r="I35" i="1"/>
  <c r="I33" i="1"/>
  <c r="G7" i="9"/>
  <c r="H7" i="9" l="1"/>
  <c r="I7" i="9" s="1"/>
  <c r="I27" i="9" s="1"/>
  <c r="K7" i="9"/>
  <c r="E7" i="10"/>
  <c r="F7" i="10" s="1"/>
  <c r="F7" i="8"/>
  <c r="G7" i="8" s="1"/>
  <c r="D27" i="3" l="1"/>
  <c r="C27" i="9"/>
  <c r="E27" i="9"/>
  <c r="F27" i="9"/>
  <c r="G27" i="9" l="1"/>
  <c r="H35" i="11" l="1"/>
  <c r="H34" i="11"/>
  <c r="H33" i="11"/>
  <c r="H32" i="11"/>
  <c r="H10" i="1" l="1"/>
  <c r="I10" i="1" s="1"/>
  <c r="J10" i="1" l="1"/>
  <c r="G10" i="1"/>
  <c r="H27" i="9" l="1"/>
  <c r="D27" i="9"/>
  <c r="D27" i="11" l="1"/>
  <c r="F8" i="8" l="1"/>
  <c r="G8" i="8" s="1"/>
  <c r="G27" i="8" s="1"/>
  <c r="F9" i="8"/>
  <c r="G9" i="8" s="1"/>
  <c r="F10" i="8"/>
  <c r="G10" i="8" s="1"/>
  <c r="F11" i="8"/>
  <c r="G11" i="8" s="1"/>
  <c r="F12" i="8"/>
  <c r="G12" i="8" s="1"/>
  <c r="F13" i="8"/>
  <c r="G13" i="8" s="1"/>
  <c r="F14" i="8"/>
  <c r="G14" i="8" s="1"/>
  <c r="F15" i="8"/>
  <c r="G15" i="8" s="1"/>
  <c r="F16" i="8"/>
  <c r="G16" i="8" s="1"/>
  <c r="F17" i="8"/>
  <c r="G17" i="8" s="1"/>
  <c r="F18" i="8"/>
  <c r="G18" i="8" s="1"/>
  <c r="F19" i="8"/>
  <c r="G19" i="8" s="1"/>
  <c r="F20" i="8"/>
  <c r="G20" i="8" s="1"/>
  <c r="F21" i="8"/>
  <c r="G21" i="8" s="1"/>
  <c r="F22" i="8"/>
  <c r="G22" i="8" s="1"/>
  <c r="F27" i="8" l="1"/>
  <c r="E8" i="11"/>
  <c r="E9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7" i="1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17" i="10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8" i="10" l="1"/>
  <c r="C27" i="10"/>
  <c r="E27" i="10" l="1"/>
  <c r="F8" i="10"/>
  <c r="F27" i="10" s="1"/>
  <c r="B27" i="10"/>
  <c r="F8" i="11"/>
  <c r="F9" i="11"/>
  <c r="F10" i="11"/>
  <c r="F11" i="11"/>
  <c r="F12" i="11"/>
  <c r="F13" i="11"/>
  <c r="F16" i="11"/>
  <c r="F17" i="11"/>
  <c r="F18" i="11"/>
  <c r="F19" i="11"/>
  <c r="F20" i="11"/>
  <c r="F21" i="11"/>
  <c r="F22" i="11"/>
  <c r="H8" i="11"/>
  <c r="H9" i="11"/>
  <c r="H10" i="11"/>
  <c r="H11" i="11"/>
  <c r="H12" i="11"/>
  <c r="H13" i="11"/>
  <c r="H16" i="11"/>
  <c r="H17" i="11"/>
  <c r="H18" i="11"/>
  <c r="H14" i="11"/>
  <c r="F35" i="11"/>
  <c r="D35" i="11"/>
  <c r="F34" i="11"/>
  <c r="D34" i="11"/>
  <c r="F33" i="11"/>
  <c r="D33" i="11"/>
  <c r="F32" i="11"/>
  <c r="D32" i="11"/>
  <c r="L27" i="11"/>
  <c r="I35" i="11" l="1"/>
  <c r="I34" i="11"/>
  <c r="I32" i="11"/>
  <c r="I33" i="11"/>
  <c r="L27" i="10"/>
  <c r="J27" i="10"/>
  <c r="M22" i="10"/>
  <c r="M21" i="10"/>
  <c r="M20" i="10"/>
  <c r="M19" i="10"/>
  <c r="M18" i="10"/>
  <c r="M17" i="10"/>
  <c r="K16" i="10"/>
  <c r="K15" i="10"/>
  <c r="M14" i="10"/>
  <c r="K13" i="10"/>
  <c r="K11" i="10"/>
  <c r="M10" i="10"/>
  <c r="M9" i="10"/>
  <c r="M12" i="10" l="1"/>
  <c r="H15" i="11"/>
  <c r="E15" i="11"/>
  <c r="E27" i="11" s="1"/>
  <c r="F14" i="11"/>
  <c r="F7" i="11"/>
  <c r="H7" i="11"/>
  <c r="M11" i="10"/>
  <c r="K19" i="10"/>
  <c r="K18" i="10"/>
  <c r="M15" i="10"/>
  <c r="M16" i="10"/>
  <c r="K10" i="10"/>
  <c r="K21" i="10"/>
  <c r="M13" i="10"/>
  <c r="K14" i="10"/>
  <c r="K22" i="10"/>
  <c r="K9" i="10"/>
  <c r="K17" i="10"/>
  <c r="D27" i="10"/>
  <c r="K20" i="10"/>
  <c r="O27" i="9"/>
  <c r="M27" i="9"/>
  <c r="N22" i="9"/>
  <c r="P20" i="9"/>
  <c r="P19" i="9"/>
  <c r="B27" i="8"/>
  <c r="K12" i="10" l="1"/>
  <c r="F15" i="11"/>
  <c r="F27" i="11" s="1"/>
  <c r="M27" i="11"/>
  <c r="P21" i="9"/>
  <c r="N20" i="9"/>
  <c r="N19" i="9"/>
  <c r="N13" i="9"/>
  <c r="P13" i="9"/>
  <c r="P11" i="9"/>
  <c r="P8" i="9"/>
  <c r="N8" i="9"/>
  <c r="P16" i="9"/>
  <c r="N16" i="9"/>
  <c r="P12" i="9"/>
  <c r="N12" i="9"/>
  <c r="P14" i="9"/>
  <c r="N14" i="9"/>
  <c r="P22" i="9"/>
  <c r="K27" i="11" l="1"/>
  <c r="N21" i="9"/>
  <c r="N11" i="9"/>
  <c r="N7" i="9"/>
  <c r="N18" i="9"/>
  <c r="P18" i="9"/>
  <c r="N10" i="9"/>
  <c r="P10" i="9"/>
  <c r="P17" i="9"/>
  <c r="N17" i="9"/>
  <c r="P9" i="9"/>
  <c r="N9" i="9"/>
  <c r="N15" i="9" l="1"/>
  <c r="N27" i="9" s="1"/>
  <c r="P15" i="9"/>
  <c r="P7" i="9"/>
  <c r="P27" i="9" l="1"/>
  <c r="M27" i="8"/>
  <c r="K27" i="8"/>
  <c r="D27" i="8"/>
  <c r="L9" i="8"/>
  <c r="L11" i="8" l="1"/>
  <c r="N11" i="8"/>
  <c r="E27" i="8"/>
  <c r="N17" i="8"/>
  <c r="N10" i="8"/>
  <c r="L10" i="8"/>
  <c r="N22" i="8"/>
  <c r="L22" i="8"/>
  <c r="N12" i="8"/>
  <c r="L12" i="8"/>
  <c r="L18" i="8"/>
  <c r="N18" i="8"/>
  <c r="L16" i="8"/>
  <c r="N16" i="8"/>
  <c r="N8" i="8"/>
  <c r="L8" i="8"/>
  <c r="N20" i="8"/>
  <c r="L20" i="8"/>
  <c r="N9" i="8"/>
  <c r="G9" i="1"/>
  <c r="H9" i="1" l="1"/>
  <c r="I9" i="1" s="1"/>
  <c r="L17" i="8"/>
  <c r="L19" i="8"/>
  <c r="N19" i="8"/>
  <c r="N13" i="8"/>
  <c r="L13" i="8"/>
  <c r="N21" i="8"/>
  <c r="L21" i="8"/>
  <c r="N14" i="8"/>
  <c r="L14" i="8"/>
  <c r="L15" i="8"/>
  <c r="N15" i="8"/>
  <c r="K9" i="1"/>
  <c r="J9" i="1" l="1"/>
  <c r="N7" i="8"/>
  <c r="N27" i="8" s="1"/>
  <c r="L7" i="8"/>
  <c r="L27" i="8" s="1"/>
  <c r="F7" i="3" l="1"/>
  <c r="G7" i="3" s="1"/>
  <c r="F7" i="1" l="1"/>
  <c r="H7" i="1" s="1"/>
  <c r="I7" i="1" s="1"/>
  <c r="G8" i="1" l="1"/>
  <c r="H8" i="1"/>
  <c r="I8" i="1" s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G7" i="1"/>
  <c r="K7" i="1"/>
  <c r="K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8" i="3" l="1"/>
  <c r="E27" i="3"/>
  <c r="H27" i="1"/>
  <c r="N7" i="1"/>
  <c r="J22" i="1"/>
  <c r="J21" i="1"/>
  <c r="J20" i="1"/>
  <c r="J19" i="1"/>
  <c r="J18" i="1"/>
  <c r="J17" i="1"/>
  <c r="J16" i="1"/>
  <c r="J15" i="1"/>
  <c r="J14" i="1"/>
  <c r="I27" i="1"/>
  <c r="J13" i="1"/>
  <c r="J12" i="1"/>
  <c r="J11" i="1"/>
  <c r="G27" i="1"/>
  <c r="M27" i="1"/>
  <c r="K27" i="3"/>
  <c r="M27" i="3"/>
  <c r="O27" i="1"/>
  <c r="B27" i="3"/>
  <c r="F27" i="3" l="1"/>
  <c r="G8" i="3"/>
  <c r="G27" i="3" s="1"/>
  <c r="N22" i="1"/>
  <c r="N8" i="1"/>
  <c r="P8" i="1"/>
  <c r="N9" i="1"/>
  <c r="P9" i="1"/>
  <c r="N10" i="1"/>
  <c r="P10" i="1"/>
  <c r="N11" i="1"/>
  <c r="P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P22" i="1"/>
  <c r="P7" i="1" l="1"/>
  <c r="P27" i="1" s="1"/>
  <c r="N27" i="1" l="1"/>
  <c r="N13" i="3"/>
  <c r="L13" i="3"/>
  <c r="L15" i="3"/>
  <c r="N15" i="3"/>
  <c r="N22" i="3"/>
  <c r="L22" i="3"/>
  <c r="L16" i="3"/>
  <c r="N16" i="3"/>
  <c r="L20" i="3"/>
  <c r="N20" i="3"/>
  <c r="L21" i="3"/>
  <c r="N21" i="3"/>
  <c r="L8" i="3"/>
  <c r="N8" i="3"/>
  <c r="L17" i="3"/>
  <c r="N17" i="3"/>
  <c r="L12" i="3"/>
  <c r="N12" i="3"/>
  <c r="N14" i="3"/>
  <c r="L14" i="3"/>
  <c r="L9" i="3"/>
  <c r="N9" i="3"/>
  <c r="L10" i="3"/>
  <c r="N10" i="3"/>
  <c r="L18" i="3"/>
  <c r="N18" i="3"/>
  <c r="L11" i="3"/>
  <c r="N11" i="3"/>
  <c r="L19" i="3"/>
  <c r="N19" i="3"/>
  <c r="F27" i="1"/>
  <c r="E27" i="1"/>
  <c r="B27" i="1"/>
  <c r="L7" i="3" l="1"/>
  <c r="L27" i="3" s="1"/>
  <c r="N7" i="3"/>
  <c r="N27" i="3" s="1"/>
  <c r="K8" i="10"/>
  <c r="M8" i="10"/>
  <c r="M7" i="10" l="1"/>
  <c r="M27" i="10" s="1"/>
  <c r="K7" i="10"/>
  <c r="K27" i="10" s="1"/>
</calcChain>
</file>

<file path=xl/sharedStrings.xml><?xml version="1.0" encoding="utf-8"?>
<sst xmlns="http://schemas.openxmlformats.org/spreadsheetml/2006/main" count="282" uniqueCount="116">
  <si>
    <r>
      <t xml:space="preserve">Name Antragsteller:in / Organisation: </t>
    </r>
    <r>
      <rPr>
        <b/>
        <sz val="11"/>
        <color theme="1"/>
        <rFont val="Calibri"/>
        <family val="2"/>
      </rPr>
      <t>→</t>
    </r>
  </si>
  <si>
    <t>Einreichung</t>
  </si>
  <si>
    <t>Personalkosten aus Anstellungsverhältnissen</t>
  </si>
  <si>
    <t>Gesamt</t>
  </si>
  <si>
    <t>Förderungen der letzten 3 Jahre</t>
  </si>
  <si>
    <t>Gesamtkosten (Budget)</t>
  </si>
  <si>
    <t>Förderung Gemeinde</t>
  </si>
  <si>
    <t>Anteil Gemeinde</t>
  </si>
  <si>
    <t>Förderung Land</t>
  </si>
  <si>
    <t>Anteil Land</t>
  </si>
  <si>
    <t>Förderung Bund</t>
  </si>
  <si>
    <t>Anteil Bund</t>
  </si>
  <si>
    <r>
      <t xml:space="preserve">Etwaige bereits erfolgte Fair-Pay-Erhöhungen bzw. Zweckwidmungen: 
</t>
    </r>
    <r>
      <rPr>
        <i/>
        <sz val="9"/>
        <color theme="1"/>
        <rFont val="Calibri"/>
        <family val="2"/>
        <scheme val="minor"/>
      </rPr>
      <t>(verpflichtend auszufüllen)</t>
    </r>
  </si>
  <si>
    <t>Sollten Sie bereits in den letzten Jahren Sondermittel von Bund/Ländern/Gemeinden zum Zweck von Fair-Pay-Erhöhungen erhalten haben, führen Sie diese bitte hier an.</t>
  </si>
  <si>
    <t>Gehaltsschema für Kulturvereine der IG Kultur</t>
  </si>
  <si>
    <t>Honorarkosten</t>
  </si>
  <si>
    <t>GPA-Schema der TKI</t>
  </si>
  <si>
    <r>
      <t xml:space="preserve">Gruppe
laut GPA-Schema </t>
    </r>
    <r>
      <rPr>
        <sz val="11"/>
        <color rgb="FFFF0000"/>
        <rFont val="Calibri"/>
        <family val="2"/>
        <scheme val="minor"/>
      </rPr>
      <t>*</t>
    </r>
  </si>
  <si>
    <r>
      <t>Beschäftings-gruppe laut Schema</t>
    </r>
    <r>
      <rPr>
        <sz val="11"/>
        <color rgb="FFFF0000"/>
        <rFont val="Calibri"/>
        <family val="2"/>
        <scheme val="minor"/>
      </rPr>
      <t>*</t>
    </r>
  </si>
  <si>
    <t>Anzahl der Arbeitsstunden</t>
  </si>
  <si>
    <r>
      <t xml:space="preserve">  </t>
    </r>
    <r>
      <rPr>
        <sz val="9"/>
        <color rgb="FFFF0000"/>
        <rFont val="Wingdings 3"/>
        <family val="1"/>
        <charset val="2"/>
      </rPr>
      <t>9</t>
    </r>
    <r>
      <rPr>
        <i/>
        <sz val="10.35"/>
        <color rgb="FFFF0000"/>
        <rFont val="Calibri"/>
        <family val="2"/>
      </rPr>
      <t xml:space="preserve"> </t>
    </r>
    <r>
      <rPr>
        <i/>
        <sz val="9"/>
        <color rgb="FFFF0000"/>
        <rFont val="Calibri"/>
        <family val="2"/>
      </rPr>
      <t xml:space="preserve"> Dieser Betrag stellt 100 % des bestehenden Fair-Pay-Gaps dar. </t>
    </r>
  </si>
  <si>
    <t>Abgeltungsgrad in % Stadt Graz</t>
  </si>
  <si>
    <t>Gewährter Fair-Pay-Zuschuss Stadt Graz</t>
  </si>
  <si>
    <t>Gewährter Fair-Pay-Zuschuss Land Steiermark</t>
  </si>
  <si>
    <t>Abgeltungsgrad in % Land Steiermark</t>
  </si>
  <si>
    <t>Höhe Fair-Pay-Gap in %</t>
  </si>
  <si>
    <t>Berufsjahre</t>
  </si>
  <si>
    <t>13-14</t>
  </si>
  <si>
    <t>15-16</t>
  </si>
  <si>
    <t>17-18</t>
  </si>
  <si>
    <t>1-2</t>
  </si>
  <si>
    <t>3-4</t>
  </si>
  <si>
    <t>5-6</t>
  </si>
  <si>
    <t>7-8</t>
  </si>
  <si>
    <t>9-10</t>
  </si>
  <si>
    <t>11-12</t>
  </si>
  <si>
    <t>-</t>
  </si>
  <si>
    <t>19+ Jahre</t>
  </si>
  <si>
    <t>Tätigkeiten ohne besondere Kenntnisse</t>
  </si>
  <si>
    <t>Einfache Tätigkeiten bzw. Assistenztätigkeiten
unter Aufsicht/Anleitung</t>
  </si>
  <si>
    <t>Organisatorische und technische Tätigkeiten
mit entsprechenden Kenntnissen</t>
  </si>
  <si>
    <t>Tätigkeiten mit Ausbildung und/oder Erfahrung
in Eigenverantwortung</t>
  </si>
  <si>
    <t>Bereichs-/Abteilungsleitungen oder Projektleitungen
mit Personalverantwortung und/oder Finanzverantwortung</t>
  </si>
  <si>
    <t>Koordinierende leitende Funktion, Gesamtkoordination</t>
  </si>
  <si>
    <t>Letztverantwortliche Leitungsfunktionen bei Vereinen</t>
  </si>
  <si>
    <r>
      <t>Beschäftigungsgruppen</t>
    </r>
    <r>
      <rPr>
        <sz val="11"/>
        <rFont val="Calibri"/>
        <family val="2"/>
        <scheme val="minor"/>
      </rPr>
      <t xml:space="preserve">
nach Tätigkeit (↓) und Berufsjahren (→)</t>
    </r>
  </si>
  <si>
    <t>Tätigkeiten bzw. Assistenztätigkeiten mit Grundkenntnissen unter Aufsicht/Anleitung</t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</si>
  <si>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(zB. Künstlerische Leitung, Kaufmännische Leitung, Sekretariat, udgl.)</t>
    </r>
    <r>
      <rPr>
        <i/>
        <sz val="10"/>
        <color rgb="FFFF0000"/>
        <rFont val="Calibri"/>
        <family val="2"/>
        <scheme val="minor"/>
      </rPr>
      <t>**</t>
    </r>
  </si>
  <si>
    <t>Wochenstunden
gesamt</t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</si>
  <si>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(zB. Öffentlichkeitsarbeit, Programmierung, Projektleitung, udgl.) </t>
    </r>
    <r>
      <rPr>
        <i/>
        <sz val="10"/>
        <color rgb="FFFF0000"/>
        <rFont val="Calibri"/>
        <family val="2"/>
        <scheme val="minor"/>
      </rPr>
      <t>**</t>
    </r>
  </si>
  <si>
    <r>
      <t xml:space="preserve"> SOLL-Jahres-bruttogehalt</t>
    </r>
    <r>
      <rPr>
        <sz val="11"/>
        <color rgb="FFFF0000"/>
        <rFont val="Calibri"/>
        <family val="2"/>
        <scheme val="minor"/>
      </rPr>
      <t xml:space="preserve">*** 
</t>
    </r>
    <r>
      <rPr>
        <sz val="11"/>
        <rFont val="Calibri"/>
        <family val="2"/>
        <scheme val="minor"/>
      </rPr>
      <t/>
    </r>
  </si>
  <si>
    <t>Gesamt Gebiets-körperschaften</t>
  </si>
  <si>
    <t>Fördergegenstand (inkl. Geschäftszahl): →</t>
  </si>
  <si>
    <t>Anzahl Personen</t>
  </si>
  <si>
    <t>mit 2-3 beteiligten Künstler:innen</t>
  </si>
  <si>
    <t>mit 4-7 beteiligten Künstler:innen</t>
  </si>
  <si>
    <t>ab 8 beteiligten Künstler:innen</t>
  </si>
  <si>
    <t>Honorarempfehlungen music austria</t>
  </si>
  <si>
    <t>Tätigkeiten</t>
  </si>
  <si>
    <t>Konzerte regionaler Act (bis zu 4 Personen)</t>
  </si>
  <si>
    <t>Konzerte nationaler Act (bis zu 4 Personen)</t>
  </si>
  <si>
    <t>Konzerte internationaler Act (bis zu 4 Personen)</t>
  </si>
  <si>
    <t>Konzert kleines Ensemble (bis zu 6 Personen)</t>
  </si>
  <si>
    <t>Konzert Orchester</t>
  </si>
  <si>
    <t>regional</t>
  </si>
  <si>
    <t>Ensemble</t>
  </si>
  <si>
    <t>Einzelausstellung</t>
  </si>
  <si>
    <t>Honorarempfehlungen der IG freie Theaterarbeit</t>
  </si>
  <si>
    <r>
      <t xml:space="preserve">Tätigkeit  
</t>
    </r>
    <r>
      <rPr>
        <i/>
        <sz val="9"/>
        <color theme="1"/>
        <rFont val="Calibri"/>
        <family val="2"/>
        <scheme val="minor"/>
      </rPr>
      <t xml:space="preserve">bitte unten aus dem Dropdown-Menü auswählen </t>
    </r>
    <r>
      <rPr>
        <i/>
        <sz val="10"/>
        <color rgb="FFFF0000"/>
        <rFont val="Calibri"/>
        <family val="2"/>
        <scheme val="minor"/>
      </rPr>
      <t>**</t>
    </r>
  </si>
  <si>
    <r>
      <t xml:space="preserve">Tätigkeit  
</t>
    </r>
    <r>
      <rPr>
        <i/>
        <sz val="9"/>
        <color theme="1"/>
        <rFont val="Calibri"/>
        <family val="2"/>
        <scheme val="minor"/>
      </rPr>
      <t>bitte unten aus dem Dropdown-Menü auswählen</t>
    </r>
  </si>
  <si>
    <t>Orchester</t>
  </si>
  <si>
    <t>Bereichsname "Ausstellungen"</t>
  </si>
  <si>
    <t>Bereichsname "NULL"</t>
  </si>
  <si>
    <t>Mitwirkung Vorstellungen</t>
  </si>
  <si>
    <r>
      <t xml:space="preserve">Tätigkeit  
</t>
    </r>
    <r>
      <rPr>
        <i/>
        <sz val="9"/>
        <color theme="1"/>
        <rFont val="Calibri"/>
        <family val="2"/>
        <scheme val="minor"/>
      </rPr>
      <t>bitte unten eintragen</t>
    </r>
  </si>
  <si>
    <t>Anzahl der Vorstellungen</t>
  </si>
  <si>
    <t>Darstellende Kunst</t>
  </si>
  <si>
    <t>1-2 Vorstellungen</t>
  </si>
  <si>
    <t>ab der 3. Vorstellung</t>
  </si>
  <si>
    <t>Anzahl der Arbeitsstunden
(nur bei keiner Mitwirkung in Vorstellungen)</t>
  </si>
  <si>
    <t>FAIR PAY Gehaltsschema für Kulturvereine (ab 1.1.2025)</t>
  </si>
  <si>
    <t>Planung / Einreichung 2025</t>
  </si>
  <si>
    <t>KEINE Werkaufträge</t>
  </si>
  <si>
    <t>KEINE Aus- und Weiterbildung</t>
  </si>
  <si>
    <t>KEINE Aufwandsentschädigungen</t>
  </si>
  <si>
    <t>KEINE Proben</t>
  </si>
  <si>
    <t>Honorarempfehlungen der IG Autorinnen und Autoren</t>
  </si>
  <si>
    <t>Honorarempfehlungen der IG Bildende Kunst</t>
  </si>
  <si>
    <t>* Das vom Land Steiermark anerkannte Entgelt-Schema (bezogen auf Vollzeit 38,5 Stunden) finden Sie unter</t>
  </si>
  <si>
    <t>* Das vom Land Steiermark anerkannte Entgelt-Schema finden Sie unter</t>
  </si>
  <si>
    <t>** Sollte eine Person in mehreren Bereichen tätig sein, dennoch bitte nur einmal zählen.
*** Personalkosten = Bruttobeträge inklusive Lohnnebenkosten. (30 %) . Es sind ausschließlich Personalkosten aus Anstellungsverhältnissen (also Kosten für echte und freie Dienstnehmende) anzuführen.  
      Entgelte für Werkverträge sind hier NICHT anzuführen. Der SOLL-Betrag wird anhand des Gehaltsschemas und der angegebenen Wochenstunden automatisch berechnet.
****Der von der Statistik Steiermark errechnete Anteil des Landes Steiermark an den angesuchten Gesamtfördersummen.</t>
  </si>
  <si>
    <t>** Sollte eine Person in mehreren Bereichen tätig sein, dennoch bitte nur einmal zählen.
*** Honorarkosten = Honorare für organisatorische ätigkeiten. Honorare für Werkaufträge an selbstständige Künstlerinnen und Künstler (Honorarvertrag) und sonstige 
      Honorare sind nicht anzuführen.
**** Der von der Statistik Steiermark errechnete Anteil des Landes Steiermark an den angesuchten Gesamtfördersummen.</t>
  </si>
  <si>
    <t>** Honorarkosten = Honorare für nd künstlerische, bildnerische Tätigkeiten. Honorare für Werkaufträge an selbstständige Künstlerinnen und Künstler (Honorarvertrag) und sonstige 
      Honorare sind nicht anzuführen. Bitte die Kosten pro Person angeben.
*** Der von der Statistik Steiermark errechnete Anteil des Landes Steiermark an den angesuchten Gesamtfördersummen.</t>
  </si>
  <si>
    <t>** Honorarkosten = Honorare für künstlerische darstellerische Tätigkeiten. Honorare für Werkaufträge an selbstständige Künstlerinnen und Künstler (Honorarvertrag) und sonstige 
      Honorare sind nicht anzuführen. Bitte die Kosten pro Person  pro Vorstellung angeben.
*** Der von der Statistik Steiermark errechnete Anteil des Landes Steiermark an den angesuchten Gesamtfördersummen.</t>
  </si>
  <si>
    <t>** Fair-Pay-Empfehlungen für Auftritte von Ensembles und Bands, deren Mitglieder solistisch agieren sowie für Orchesterprojekte. Für Solo-Honorare im eigentlichen Sinn gibt es keine Empfehlungen, sie unterliegen der freien Vereinbarung.
*** Honorarkosten = Honorare für künstlerische Tätigkeiten. Honorare für Werkaufträge an selbstständige Künstlerinnen und Künstler (Honorarvertrag) und sonstige  Honorare sind nicht anzuführen. Bitte die Kosten pro Person angeben.
**** Der von der Statistik Steiermark errechnete Anteil des Landes Steiermark an den angesuchten Gesamtfördersummen.</t>
  </si>
  <si>
    <t>** Honorarkosten = Honorare für künstlerische literarische Tätigkeiten. Honorare für Werkaufträge an selbstständige Künstlerinnen und Künstler (Honorarvertrag) und sonstige 
      Honorare sind nicht anzuführen. Bitte die Kosten pro Person angeben.
*** Der von der Statistik Steiermark errechnete Anteil des Landes Steiermark an den angesuchten Gesamtfördersummen.</t>
  </si>
  <si>
    <t>Anzahl beteiligter Künstler und Künstlerinnen</t>
  </si>
  <si>
    <r>
      <t xml:space="preserve"> SOLL</t>
    </r>
    <r>
      <rPr>
        <sz val="11"/>
        <color rgb="FFFF0000"/>
        <rFont val="Calibri"/>
        <family val="2"/>
        <scheme val="minor"/>
      </rPr>
      <t xml:space="preserve">** 
</t>
    </r>
    <r>
      <rPr>
        <sz val="11"/>
        <rFont val="Calibri"/>
        <family val="2"/>
        <scheme val="minor"/>
      </rPr>
      <t xml:space="preserve">(maximal; </t>
    </r>
    <r>
      <rPr>
        <sz val="11"/>
        <color theme="1"/>
        <rFont val="Calibri"/>
        <family val="2"/>
        <scheme val="minor"/>
      </rPr>
      <t>2025)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pro Künstler/Künstlerin</t>
    </r>
  </si>
  <si>
    <r>
      <t>IST</t>
    </r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
(2025)
pro Künstler/Künstlerin</t>
    </r>
  </si>
  <si>
    <r>
      <t xml:space="preserve">Anteil
Land Steiermark 
(24,3 %) </t>
    </r>
    <r>
      <rPr>
        <sz val="11"/>
        <color rgb="FFFF0000"/>
        <rFont val="Calibri"/>
        <family val="2"/>
        <scheme val="minor"/>
      </rPr>
      <t>***</t>
    </r>
  </si>
  <si>
    <r>
      <t>IST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(2025)
pro Künstler/Künstlerin</t>
    </r>
  </si>
  <si>
    <r>
      <t xml:space="preserve"> SOLL</t>
    </r>
    <r>
      <rPr>
        <sz val="11"/>
        <color rgb="FFFF0000"/>
        <rFont val="Calibri"/>
        <family val="2"/>
        <scheme val="minor"/>
      </rPr>
      <t xml:space="preserve">** 
</t>
    </r>
    <r>
      <rPr>
        <sz val="11"/>
        <rFont val="Calibri"/>
        <family val="2"/>
        <scheme val="minor"/>
      </rPr>
      <t xml:space="preserve">(maximal; </t>
    </r>
    <r>
      <rPr>
        <sz val="11"/>
        <color theme="1"/>
        <rFont val="Calibri"/>
        <family val="2"/>
        <scheme val="minor"/>
      </rPr>
      <t>2025)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pro Künstler:in und pro Vorstellung</t>
    </r>
  </si>
  <si>
    <r>
      <t>IST</t>
    </r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
(2025)
pro Künstler/Künstlerin und pro Vorstellung</t>
    </r>
  </si>
  <si>
    <r>
      <t xml:space="preserve"> SOLL</t>
    </r>
    <r>
      <rPr>
        <sz val="11"/>
        <color rgb="FFFF0000"/>
        <rFont val="Calibri"/>
        <family val="2"/>
        <scheme val="minor"/>
      </rPr>
      <t xml:space="preserve">*** 
</t>
    </r>
    <r>
      <rPr>
        <sz val="11"/>
        <rFont val="Calibri"/>
        <family val="2"/>
        <scheme val="minor"/>
      </rPr>
      <t xml:space="preserve">(maximal; </t>
    </r>
    <r>
      <rPr>
        <sz val="11"/>
        <color theme="1"/>
        <rFont val="Calibri"/>
        <family val="2"/>
        <scheme val="minor"/>
      </rPr>
      <t>2025)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>*</t>
    </r>
  </si>
  <si>
    <r>
      <t>IST</t>
    </r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
(2025)</t>
    </r>
  </si>
  <si>
    <r>
      <t xml:space="preserve"> SOLL-Bruttomonats-gehalt</t>
    </r>
    <r>
      <rPr>
        <sz val="11"/>
        <color rgb="FFFF0000"/>
        <rFont val="Calibri"/>
        <family val="2"/>
        <scheme val="minor"/>
      </rPr>
      <t xml:space="preserve">*** 
</t>
    </r>
    <r>
      <rPr>
        <sz val="11"/>
        <rFont val="Calibri"/>
        <family val="2"/>
        <scheme val="minor"/>
      </rPr>
      <t xml:space="preserve">(Vollzeit; </t>
    </r>
    <r>
      <rPr>
        <sz val="11"/>
        <color theme="1"/>
        <rFont val="Calibri"/>
        <family val="2"/>
        <scheme val="minor"/>
      </rPr>
      <t xml:space="preserve">2025) </t>
    </r>
    <r>
      <rPr>
        <sz val="11"/>
        <rFont val="Calibri"/>
        <family val="2"/>
        <scheme val="minor"/>
      </rPr>
      <t>lt. Entgelt-Schema</t>
    </r>
    <r>
      <rPr>
        <sz val="11"/>
        <color rgb="FFFF0000"/>
        <rFont val="Calibri"/>
        <family val="2"/>
        <scheme val="minor"/>
      </rPr>
      <t>*</t>
    </r>
  </si>
  <si>
    <r>
      <t>Anteil Land Steiermark 
(24,3 % für 1/2 Jahr)</t>
    </r>
    <r>
      <rPr>
        <sz val="11"/>
        <color rgb="FFFF0000"/>
        <rFont val="Calibri"/>
        <family val="2"/>
        <scheme val="minor"/>
      </rPr>
      <t xml:space="preserve"> ****</t>
    </r>
  </si>
  <si>
    <r>
      <t>Datenblatt "Gerechte Bezahlung 2025" 
für Personalkosten aus Anstellungsverhältnissen (echte und freie DN)
Abteilung 9 Kultur, Europa, Sport des Landes Steiermark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</si>
  <si>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t>Mehrbedarf für Gerechte Bezahlung
(= Differenz)</t>
  </si>
  <si>
    <t xml:space="preserve">optionale Beschreibung der Förderungsmaßnahme für gerechte Bezahlung: </t>
  </si>
  <si>
    <r>
      <t>Datenblatt "Gerechte Bezahlung 2025" 
für Honorare organisatorische Tätigkeiten
Abteilung 9 Kultur, Europa, Sport des Landes Steiermark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</si>
  <si>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"Gerechte Bezahlung 2025" 
für künstlerische Honorare Bildende Kunst
Abteilung 9 Kultur, Europa, Sport des Landes Steiermark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</si>
  <si>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"Gerechte Bezahlung 2025" " 
für künstlerische Honorare Darstellende Kunst
Abteilung 9 Kultur, Europa, Sport des Landes Steiermark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</si>
  <si>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"Gerechte Bezahlung 2025" 
für künstlerische Honorare Musik
Abteilung 9 Kultur, Europa, Sport des Landes Steiermark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</si>
  <si>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r>
      <t>Datenblatt "Gerechte Bezahlung 2025" 
für künstlerische Honorare Literatur
Abteilung 9 Kultur, Europa, Sport des Landes Steiermark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Mehrjahres- und Jahres-/Basisförderungen, Projektförderungen</t>
    </r>
  </si>
  <si>
    <t>Mehrbedarf für
Gerechte Bezahlung
(= Differenz)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</si>
</sst>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€&quot;\ #,##0.00"/>
    <numFmt numFmtId="165" formatCode="0.00%;[Red]\-0.0%"/>
    <numFmt numFmtId="166" formatCode="0.0%"/>
    <numFmt numFmtId="167" formatCode="0.00\ &quot;h&quot;"/>
    <numFmt numFmtId="168" formatCode="General\ &quot;h&quot;"/>
    <numFmt numFmtId="169" formatCode="0.0%;[Red]\-0.0%"/>
    <numFmt numFmtId="170" formatCode="[$€-2]\ #,##0;[Red]\-[$€-2]\ #,##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rgb="FFFF0000"/>
      <name val="Wingdings 3"/>
      <family val="1"/>
      <charset val="2"/>
    </font>
    <font>
      <i/>
      <sz val="9"/>
      <color rgb="FFFF0000"/>
      <name val="Calibri"/>
      <family val="2"/>
    </font>
    <font>
      <i/>
      <sz val="10.35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</font>
    <font>
      <sz val="18"/>
      <color rgb="FF333333"/>
      <name val="Arial"/>
      <family val="2"/>
    </font>
    <font>
      <sz val="16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4E8A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9" fillId="0" borderId="0"/>
  </cellStyleXfs>
  <cellXfs count="240">
    <xf numFmtId="0" fontId="0" fillId="0" borderId="0" xfId="0"/>
    <xf numFmtId="0" fontId="0" fillId="0" borderId="0" xfId="0" applyAlignment="1" applyProtection="1">
      <alignment wrapText="1"/>
    </xf>
    <xf numFmtId="0" fontId="0" fillId="2" borderId="4" xfId="0" applyFill="1" applyBorder="1" applyAlignment="1" applyProtection="1">
      <alignment wrapText="1"/>
    </xf>
    <xf numFmtId="0" fontId="16" fillId="2" borderId="4" xfId="0" applyFont="1" applyFill="1" applyBorder="1" applyAlignment="1" applyProtection="1">
      <alignment vertical="top" wrapText="1"/>
    </xf>
    <xf numFmtId="0" fontId="16" fillId="2" borderId="6" xfId="0" applyFont="1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wrapText="1"/>
    </xf>
    <xf numFmtId="0" fontId="0" fillId="2" borderId="0" xfId="0" applyFill="1" applyAlignment="1" applyProtection="1">
      <alignment wrapText="1"/>
    </xf>
    <xf numFmtId="0" fontId="16" fillId="2" borderId="5" xfId="0" applyFont="1" applyFill="1" applyBorder="1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0" fillId="4" borderId="8" xfId="0" applyNumberFormat="1" applyFont="1" applyFill="1" applyBorder="1" applyAlignment="1" applyProtection="1">
      <alignment horizontal="center" vertical="center" wrapText="1"/>
    </xf>
    <xf numFmtId="4" fontId="0" fillId="4" borderId="17" xfId="0" applyNumberFormat="1" applyFill="1" applyBorder="1" applyAlignment="1" applyProtection="1">
      <alignment horizontal="right" vertical="center" wrapText="1" indent="1"/>
    </xf>
    <xf numFmtId="4" fontId="0" fillId="4" borderId="26" xfId="0" applyNumberFormat="1" applyFill="1" applyBorder="1" applyAlignment="1" applyProtection="1">
      <alignment horizontal="right" vertical="center" wrapText="1" indent="1"/>
    </xf>
    <xf numFmtId="0" fontId="0" fillId="4" borderId="9" xfId="0" applyNumberFormat="1" applyFont="1" applyFill="1" applyBorder="1" applyAlignment="1" applyProtection="1">
      <alignment horizontal="center" vertical="center" wrapText="1"/>
    </xf>
    <xf numFmtId="4" fontId="0" fillId="4" borderId="20" xfId="0" applyNumberFormat="1" applyFill="1" applyBorder="1" applyAlignment="1" applyProtection="1">
      <alignment horizontal="right" vertical="center" wrapText="1" indent="1"/>
    </xf>
    <xf numFmtId="4" fontId="0" fillId="4" borderId="13" xfId="0" applyNumberFormat="1" applyFill="1" applyBorder="1" applyAlignment="1" applyProtection="1">
      <alignment horizontal="right" vertical="center" wrapText="1" indent="1"/>
    </xf>
    <xf numFmtId="4" fontId="0" fillId="4" borderId="28" xfId="0" applyNumberFormat="1" applyFill="1" applyBorder="1" applyAlignment="1" applyProtection="1">
      <alignment horizontal="right" vertical="center" wrapText="1" indent="1"/>
    </xf>
    <xf numFmtId="0" fontId="2" fillId="6" borderId="4" xfId="0" applyFont="1" applyFill="1" applyBorder="1" applyAlignment="1" applyProtection="1">
      <alignment horizontal="right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41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 wrapText="1"/>
    </xf>
    <xf numFmtId="0" fontId="2" fillId="6" borderId="39" xfId="0" applyFont="1" applyFill="1" applyBorder="1" applyAlignment="1" applyProtection="1">
      <alignment horizontal="center" vertical="center" wrapText="1"/>
    </xf>
    <xf numFmtId="0" fontId="0" fillId="6" borderId="8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</xf>
    <xf numFmtId="1" fontId="0" fillId="0" borderId="17" xfId="0" applyNumberFormat="1" applyBorder="1" applyAlignment="1" applyProtection="1">
      <alignment horizontal="center" vertical="center" wrapText="1"/>
      <protection locked="0"/>
    </xf>
    <xf numFmtId="167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top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7" borderId="26" xfId="0" applyNumberFormat="1" applyFill="1" applyBorder="1" applyAlignment="1" applyProtection="1">
      <alignment horizontal="center" vertical="center" wrapText="1"/>
    </xf>
    <xf numFmtId="164" fontId="0" fillId="5" borderId="26" xfId="0" applyNumberFormat="1" applyFill="1" applyBorder="1" applyAlignment="1" applyProtection="1">
      <alignment horizontal="center" vertical="center" wrapText="1"/>
    </xf>
    <xf numFmtId="164" fontId="0" fillId="3" borderId="40" xfId="0" applyNumberFormat="1" applyFill="1" applyBorder="1" applyAlignment="1" applyProtection="1">
      <alignment horizontal="center" vertical="center" wrapText="1"/>
      <protection locked="0"/>
    </xf>
    <xf numFmtId="0" fontId="15" fillId="0" borderId="0" xfId="1" applyFill="1" applyBorder="1" applyAlignment="1" applyProtection="1">
      <alignment horizontal="left" vertical="top" wrapText="1"/>
    </xf>
    <xf numFmtId="0" fontId="0" fillId="8" borderId="16" xfId="0" applyFont="1" applyFill="1" applyBorder="1" applyAlignment="1" applyProtection="1">
      <alignment horizontal="center" vertical="center" wrapText="1"/>
    </xf>
    <xf numFmtId="0" fontId="0" fillId="8" borderId="51" xfId="0" applyFont="1" applyFill="1" applyBorder="1" applyAlignment="1" applyProtection="1">
      <alignment horizontal="center" vertical="center" wrapText="1"/>
    </xf>
    <xf numFmtId="2" fontId="0" fillId="5" borderId="26" xfId="0" quotePrefix="1" applyNumberFormat="1" applyFill="1" applyBorder="1" applyAlignment="1" applyProtection="1">
      <alignment horizontal="center" vertical="center" wrapText="1"/>
    </xf>
    <xf numFmtId="2" fontId="0" fillId="0" borderId="23" xfId="0" applyNumberFormat="1" applyBorder="1" applyAlignment="1" applyProtection="1">
      <alignment horizontal="right" vertical="center" wrapText="1" indent="1"/>
    </xf>
    <xf numFmtId="4" fontId="0" fillId="0" borderId="23" xfId="0" applyNumberFormat="1" applyBorder="1" applyAlignment="1" applyProtection="1">
      <alignment horizontal="right" vertical="center" wrapText="1" indent="1"/>
    </xf>
    <xf numFmtId="4" fontId="0" fillId="0" borderId="22" xfId="0" applyNumberFormat="1" applyBorder="1" applyAlignment="1" applyProtection="1">
      <alignment horizontal="right" vertical="center" wrapText="1" indent="1"/>
    </xf>
    <xf numFmtId="4" fontId="0" fillId="0" borderId="56" xfId="0" applyNumberFormat="1" applyBorder="1" applyAlignment="1" applyProtection="1">
      <alignment horizontal="right" vertical="center" wrapText="1" indent="1"/>
    </xf>
    <xf numFmtId="4" fontId="0" fillId="0" borderId="58" xfId="0" applyNumberFormat="1" applyBorder="1" applyAlignment="1" applyProtection="1">
      <alignment horizontal="right" vertical="center" wrapText="1" indent="1"/>
    </xf>
    <xf numFmtId="2" fontId="0" fillId="0" borderId="23" xfId="0" applyNumberFormat="1" applyBorder="1" applyAlignment="1" applyProtection="1">
      <alignment horizontal="center" vertical="center" wrapText="1"/>
    </xf>
    <xf numFmtId="4" fontId="0" fillId="0" borderId="23" xfId="0" applyNumberFormat="1" applyBorder="1" applyAlignment="1" applyProtection="1">
      <alignment horizontal="center" vertical="center" wrapText="1"/>
    </xf>
    <xf numFmtId="166" fontId="0" fillId="3" borderId="27" xfId="0" applyNumberFormat="1" applyFill="1" applyBorder="1" applyAlignment="1" applyProtection="1">
      <alignment horizontal="center" vertical="center" wrapText="1"/>
    </xf>
    <xf numFmtId="164" fontId="0" fillId="3" borderId="26" xfId="0" applyNumberFormat="1" applyFill="1" applyBorder="1" applyAlignment="1" applyProtection="1">
      <alignment horizontal="center" vertical="center" wrapText="1"/>
    </xf>
    <xf numFmtId="166" fontId="0" fillId="3" borderId="49" xfId="0" applyNumberFormat="1" applyFill="1" applyBorder="1" applyAlignment="1" applyProtection="1">
      <alignment horizontal="center" vertical="center" wrapText="1"/>
    </xf>
    <xf numFmtId="164" fontId="0" fillId="0" borderId="17" xfId="0" applyNumberFormat="1" applyFill="1" applyBorder="1" applyAlignment="1" applyProtection="1">
      <alignment horizontal="center" vertical="center" wrapText="1"/>
      <protection locked="0"/>
    </xf>
    <xf numFmtId="0" fontId="15" fillId="0" borderId="4" xfId="1" applyFill="1" applyBorder="1" applyAlignment="1" applyProtection="1">
      <alignment horizontal="left" vertical="top" wrapText="1"/>
    </xf>
    <xf numFmtId="0" fontId="15" fillId="0" borderId="0" xfId="1" applyFill="1" applyBorder="1" applyAlignment="1" applyProtection="1">
      <alignment horizontal="left" vertical="top" wrapText="1"/>
    </xf>
    <xf numFmtId="164" fontId="0" fillId="3" borderId="42" xfId="0" applyNumberFormat="1" applyFill="1" applyBorder="1" applyAlignment="1" applyProtection="1">
      <alignment horizontal="center" vertical="center" wrapText="1"/>
    </xf>
    <xf numFmtId="3" fontId="0" fillId="0" borderId="0" xfId="0" quotePrefix="1" applyNumberFormat="1"/>
    <xf numFmtId="0" fontId="0" fillId="9" borderId="0" xfId="0" applyFill="1"/>
    <xf numFmtId="4" fontId="0" fillId="0" borderId="61" xfId="0" applyNumberFormat="1" applyBorder="1" applyAlignment="1" applyProtection="1">
      <alignment horizontal="right" vertical="center" wrapText="1" indent="1"/>
    </xf>
    <xf numFmtId="0" fontId="20" fillId="0" borderId="0" xfId="0" applyFont="1" applyAlignment="1">
      <alignment horizontal="center" vertical="center" wrapText="1"/>
    </xf>
    <xf numFmtId="0" fontId="17" fillId="5" borderId="40" xfId="2" applyFont="1" applyFill="1" applyBorder="1" applyAlignment="1">
      <alignment horizontal="left" wrapText="1"/>
    </xf>
    <xf numFmtId="0" fontId="17" fillId="5" borderId="17" xfId="2" applyFont="1" applyFill="1" applyBorder="1" applyAlignment="1">
      <alignment horizontal="center" vertical="center"/>
    </xf>
    <xf numFmtId="0" fontId="10" fillId="0" borderId="11" xfId="2" applyFont="1" applyBorder="1" applyAlignment="1">
      <alignment horizontal="left" vertical="center" wrapText="1"/>
    </xf>
    <xf numFmtId="170" fontId="10" fillId="0" borderId="59" xfId="2" applyNumberFormat="1" applyFont="1" applyBorder="1" applyAlignment="1">
      <alignment horizontal="center" vertical="center"/>
    </xf>
    <xf numFmtId="0" fontId="10" fillId="0" borderId="11" xfId="2" applyFont="1" applyBorder="1" applyAlignment="1">
      <alignment horizontal="left" vertical="center"/>
    </xf>
    <xf numFmtId="0" fontId="17" fillId="5" borderId="59" xfId="2" applyFont="1" applyFill="1" applyBorder="1" applyAlignment="1">
      <alignment horizontal="center" vertical="center"/>
    </xf>
    <xf numFmtId="0" fontId="17" fillId="5" borderId="60" xfId="2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top" wrapText="1"/>
    </xf>
    <xf numFmtId="2" fontId="0" fillId="0" borderId="22" xfId="0" applyNumberFormat="1" applyBorder="1" applyAlignment="1" applyProtection="1">
      <alignment horizontal="right" vertical="center" wrapText="1" indent="1"/>
    </xf>
    <xf numFmtId="168" fontId="0" fillId="5" borderId="42" xfId="0" applyNumberFormat="1" applyFill="1" applyBorder="1" applyAlignment="1" applyProtection="1">
      <alignment horizontal="center" vertical="center" wrapText="1"/>
    </xf>
    <xf numFmtId="0" fontId="0" fillId="5" borderId="19" xfId="0" applyFont="1" applyFill="1" applyBorder="1" applyAlignment="1" applyProtection="1">
      <alignment vertical="center" wrapText="1"/>
    </xf>
    <xf numFmtId="0" fontId="2" fillId="6" borderId="25" xfId="0" applyFont="1" applyFill="1" applyBorder="1" applyAlignment="1" applyProtection="1">
      <alignment vertical="center" wrapText="1"/>
    </xf>
    <xf numFmtId="2" fontId="0" fillId="0" borderId="22" xfId="0" applyNumberFormat="1" applyBorder="1" applyAlignment="1" applyProtection="1">
      <alignment horizontal="center" vertical="center" wrapText="1"/>
    </xf>
    <xf numFmtId="0" fontId="2" fillId="6" borderId="34" xfId="0" applyFont="1" applyFill="1" applyBorder="1" applyAlignment="1" applyProtection="1">
      <alignment horizontal="right" vertical="center" wrapText="1"/>
    </xf>
    <xf numFmtId="0" fontId="0" fillId="9" borderId="4" xfId="0" applyFill="1" applyBorder="1" applyAlignment="1" applyProtection="1">
      <alignment wrapText="1"/>
    </xf>
    <xf numFmtId="0" fontId="0" fillId="9" borderId="0" xfId="0" applyFill="1" applyAlignment="1" applyProtection="1">
      <alignment wrapText="1"/>
    </xf>
    <xf numFmtId="0" fontId="18" fillId="9" borderId="4" xfId="0" applyFont="1" applyFill="1" applyBorder="1" applyAlignment="1" applyProtection="1">
      <alignment vertical="center" wrapText="1"/>
      <protection locked="0"/>
    </xf>
    <xf numFmtId="0" fontId="18" fillId="9" borderId="0" xfId="0" applyFont="1" applyFill="1" applyBorder="1" applyAlignment="1" applyProtection="1">
      <alignment vertical="center" wrapText="1"/>
      <protection locked="0"/>
    </xf>
    <xf numFmtId="0" fontId="18" fillId="9" borderId="4" xfId="0" applyFont="1" applyFill="1" applyBorder="1" applyAlignment="1" applyProtection="1">
      <alignment horizontal="center" vertical="center" wrapText="1"/>
      <protection locked="0"/>
    </xf>
    <xf numFmtId="0" fontId="18" fillId="9" borderId="0" xfId="0" applyFont="1" applyFill="1" applyBorder="1" applyAlignment="1" applyProtection="1">
      <alignment horizontal="center" vertical="center" wrapText="1"/>
      <protection locked="0"/>
    </xf>
    <xf numFmtId="164" fontId="0" fillId="9" borderId="0" xfId="0" applyNumberFormat="1" applyFill="1" applyAlignment="1" applyProtection="1">
      <alignment wrapText="1"/>
    </xf>
    <xf numFmtId="10" fontId="0" fillId="9" borderId="0" xfId="0" applyNumberFormat="1" applyFill="1" applyAlignment="1" applyProtection="1">
      <alignment wrapText="1"/>
    </xf>
    <xf numFmtId="0" fontId="0" fillId="9" borderId="0" xfId="0" applyNumberFormat="1" applyFill="1" applyAlignment="1" applyProtection="1">
      <alignment wrapText="1"/>
    </xf>
    <xf numFmtId="0" fontId="1" fillId="9" borderId="0" xfId="0" applyFont="1" applyFill="1" applyAlignment="1" applyProtection="1">
      <alignment wrapText="1"/>
    </xf>
    <xf numFmtId="0" fontId="0" fillId="9" borderId="0" xfId="0" applyFill="1" applyAlignment="1" applyProtection="1">
      <alignment horizontal="center" vertical="center" wrapText="1"/>
    </xf>
    <xf numFmtId="0" fontId="0" fillId="9" borderId="0" xfId="0" applyFill="1" applyBorder="1" applyAlignment="1" applyProtection="1">
      <alignment wrapText="1"/>
    </xf>
    <xf numFmtId="0" fontId="0" fillId="9" borderId="0" xfId="0" applyFill="1" applyBorder="1" applyAlignment="1" applyProtection="1">
      <alignment horizontal="center" vertical="center" wrapText="1"/>
    </xf>
    <xf numFmtId="0" fontId="8" fillId="9" borderId="0" xfId="0" applyFont="1" applyFill="1" applyBorder="1" applyAlignment="1" applyProtection="1">
      <alignment vertical="top"/>
    </xf>
    <xf numFmtId="0" fontId="0" fillId="5" borderId="14" xfId="0" applyFont="1" applyFill="1" applyBorder="1" applyAlignment="1" applyProtection="1">
      <alignment vertical="center" wrapText="1"/>
      <protection locked="0"/>
    </xf>
    <xf numFmtId="0" fontId="13" fillId="9" borderId="0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vertical="top" wrapText="1"/>
    </xf>
    <xf numFmtId="0" fontId="11" fillId="0" borderId="29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11" fillId="0" borderId="32" xfId="0" applyFont="1" applyFill="1" applyBorder="1" applyAlignment="1" applyProtection="1">
      <alignment vertical="top" wrapText="1"/>
    </xf>
    <xf numFmtId="0" fontId="15" fillId="0" borderId="0" xfId="1"/>
    <xf numFmtId="164" fontId="0" fillId="5" borderId="17" xfId="0" applyNumberFormat="1" applyFill="1" applyBorder="1" applyAlignment="1" applyProtection="1">
      <alignment horizontal="center" vertical="center" wrapText="1"/>
      <protection hidden="1"/>
    </xf>
    <xf numFmtId="164" fontId="0" fillId="0" borderId="17" xfId="0" applyNumberFormat="1" applyBorder="1" applyAlignment="1" applyProtection="1">
      <alignment horizontal="center" vertical="center" wrapText="1"/>
      <protection hidden="1"/>
    </xf>
    <xf numFmtId="166" fontId="0" fillId="3" borderId="17" xfId="0" applyNumberFormat="1" applyFill="1" applyBorder="1" applyAlignment="1" applyProtection="1">
      <alignment horizontal="center" vertical="center" wrapText="1"/>
      <protection hidden="1"/>
    </xf>
    <xf numFmtId="166" fontId="0" fillId="3" borderId="20" xfId="0" applyNumberFormat="1" applyFill="1" applyBorder="1" applyAlignment="1" applyProtection="1">
      <alignment horizontal="center" vertical="center" wrapText="1"/>
      <protection hidden="1"/>
    </xf>
    <xf numFmtId="166" fontId="0" fillId="3" borderId="20" xfId="0" applyNumberFormat="1" applyFont="1" applyFill="1" applyBorder="1" applyAlignment="1" applyProtection="1">
      <alignment horizontal="center" vertical="center" wrapText="1"/>
      <protection hidden="1"/>
    </xf>
    <xf numFmtId="166" fontId="0" fillId="5" borderId="17" xfId="0" applyNumberFormat="1" applyFill="1" applyBorder="1" applyAlignment="1" applyProtection="1">
      <alignment horizontal="center" vertical="center" wrapText="1"/>
      <protection hidden="1"/>
    </xf>
    <xf numFmtId="166" fontId="0" fillId="5" borderId="26" xfId="0" applyNumberFormat="1" applyFill="1" applyBorder="1" applyAlignment="1" applyProtection="1">
      <alignment horizontal="center" vertical="center" wrapText="1"/>
      <protection hidden="1"/>
    </xf>
    <xf numFmtId="0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NumberFormat="1" applyBorder="1" applyAlignment="1" applyProtection="1">
      <alignment horizontal="right" vertical="center" wrapText="1" indent="1"/>
    </xf>
    <xf numFmtId="0" fontId="0" fillId="0" borderId="22" xfId="0" applyNumberFormat="1" applyBorder="1" applyAlignment="1" applyProtection="1">
      <alignment horizontal="center" vertical="center" wrapText="1"/>
    </xf>
    <xf numFmtId="0" fontId="0" fillId="5" borderId="42" xfId="0" applyNumberFormat="1" applyFill="1" applyBorder="1" applyAlignment="1" applyProtection="1">
      <alignment horizontal="center" vertical="center" wrapText="1"/>
    </xf>
    <xf numFmtId="167" fontId="0" fillId="5" borderId="17" xfId="0" applyNumberForma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vertical="top" wrapText="1"/>
    </xf>
    <xf numFmtId="0" fontId="13" fillId="0" borderId="31" xfId="0" applyFont="1" applyFill="1" applyBorder="1" applyAlignment="1" applyProtection="1">
      <alignment vertical="top" wrapText="1"/>
    </xf>
    <xf numFmtId="0" fontId="13" fillId="0" borderId="35" xfId="0" applyFont="1" applyFill="1" applyBorder="1" applyAlignment="1" applyProtection="1">
      <alignment vertical="top" wrapText="1"/>
    </xf>
    <xf numFmtId="0" fontId="13" fillId="0" borderId="36" xfId="0" applyFont="1" applyFill="1" applyBorder="1" applyAlignment="1" applyProtection="1">
      <alignment vertical="top" wrapText="1"/>
    </xf>
    <xf numFmtId="0" fontId="0" fillId="5" borderId="14" xfId="0" applyFont="1" applyFill="1" applyBorder="1" applyAlignment="1" applyProtection="1">
      <alignment vertical="center" wrapText="1"/>
    </xf>
    <xf numFmtId="0" fontId="23" fillId="10" borderId="63" xfId="0" applyFont="1" applyFill="1" applyBorder="1"/>
    <xf numFmtId="0" fontId="0" fillId="11" borderId="63" xfId="0" applyFont="1" applyFill="1" applyBorder="1"/>
    <xf numFmtId="0" fontId="0" fillId="0" borderId="63" xfId="0" applyFont="1" applyBorder="1"/>
    <xf numFmtId="0" fontId="15" fillId="0" borderId="0" xfId="1" applyAlignment="1"/>
    <xf numFmtId="0" fontId="2" fillId="0" borderId="0" xfId="0" applyFont="1"/>
    <xf numFmtId="167" fontId="0" fillId="0" borderId="0" xfId="0" applyNumberFormat="1" applyFill="1" applyBorder="1" applyAlignment="1" applyProtection="1">
      <alignment horizontal="center" vertical="center" wrapText="1"/>
      <protection locked="0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7" xfId="0" applyNumberFormat="1" applyFill="1" applyBorder="1" applyAlignment="1" applyProtection="1">
      <alignment horizontal="center" vertical="center" wrapText="1"/>
      <protection hidden="1"/>
    </xf>
    <xf numFmtId="0" fontId="0" fillId="0" borderId="17" xfId="0" quotePrefix="1" applyNumberFormat="1" applyFill="1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 applyProtection="1">
      <alignment vertical="top"/>
      <protection locked="0"/>
    </xf>
    <xf numFmtId="0" fontId="18" fillId="0" borderId="50" xfId="0" applyFont="1" applyFill="1" applyBorder="1" applyAlignment="1" applyProtection="1">
      <alignment vertical="center" wrapText="1"/>
      <protection locked="0"/>
    </xf>
    <xf numFmtId="0" fontId="18" fillId="0" borderId="53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</xf>
    <xf numFmtId="0" fontId="11" fillId="0" borderId="35" xfId="0" applyFont="1" applyFill="1" applyBorder="1" applyAlignment="1" applyProtection="1">
      <alignment vertical="top" wrapText="1"/>
    </xf>
    <xf numFmtId="0" fontId="13" fillId="0" borderId="2" xfId="0" applyFont="1" applyFill="1" applyBorder="1" applyAlignment="1" applyProtection="1">
      <alignment vertical="top" wrapText="1"/>
    </xf>
    <xf numFmtId="0" fontId="0" fillId="4" borderId="53" xfId="0" applyNumberFormat="1" applyFont="1" applyFill="1" applyBorder="1" applyAlignment="1" applyProtection="1">
      <alignment horizontal="center" vertical="center" wrapText="1"/>
    </xf>
    <xf numFmtId="0" fontId="0" fillId="4" borderId="64" xfId="0" applyNumberFormat="1" applyFont="1" applyFill="1" applyBorder="1" applyAlignment="1" applyProtection="1">
      <alignment horizontal="center" vertical="center" wrapText="1"/>
    </xf>
    <xf numFmtId="4" fontId="0" fillId="4" borderId="40" xfId="0" applyNumberFormat="1" applyFill="1" applyBorder="1" applyAlignment="1" applyProtection="1">
      <alignment horizontal="right" vertical="center" wrapText="1" indent="1"/>
    </xf>
    <xf numFmtId="4" fontId="0" fillId="4" borderId="65" xfId="0" applyNumberFormat="1" applyFill="1" applyBorder="1" applyAlignment="1" applyProtection="1">
      <alignment horizontal="right" vertical="center" wrapText="1" indent="1"/>
    </xf>
    <xf numFmtId="4" fontId="0" fillId="4" borderId="42" xfId="0" applyNumberFormat="1" applyFill="1" applyBorder="1" applyAlignment="1" applyProtection="1">
      <alignment horizontal="right" vertical="center" wrapText="1" indent="1"/>
    </xf>
    <xf numFmtId="0" fontId="0" fillId="4" borderId="17" xfId="0" applyNumberFormat="1" applyFont="1" applyFill="1" applyBorder="1" applyAlignment="1" applyProtection="1">
      <alignment horizontal="center" vertical="center" wrapText="1"/>
    </xf>
    <xf numFmtId="0" fontId="0" fillId="4" borderId="26" xfId="0" applyNumberFormat="1" applyFont="1" applyFill="1" applyBorder="1" applyAlignment="1" applyProtection="1">
      <alignment horizontal="center" vertical="center" wrapText="1"/>
    </xf>
    <xf numFmtId="4" fontId="0" fillId="4" borderId="62" xfId="0" applyNumberFormat="1" applyFill="1" applyBorder="1" applyAlignment="1" applyProtection="1">
      <alignment horizontal="right" vertical="center" wrapText="1" indent="1"/>
    </xf>
    <xf numFmtId="4" fontId="0" fillId="4" borderId="66" xfId="0" applyNumberFormat="1" applyFill="1" applyBorder="1" applyAlignment="1" applyProtection="1">
      <alignment horizontal="right" vertical="center" wrapText="1" indent="1"/>
    </xf>
    <xf numFmtId="4" fontId="0" fillId="4" borderId="49" xfId="0" applyNumberFormat="1" applyFill="1" applyBorder="1" applyAlignment="1" applyProtection="1">
      <alignment horizontal="right" vertical="center" wrapText="1" indent="1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>
      <alignment horizontal="center" vertical="center" wrapText="1"/>
    </xf>
    <xf numFmtId="0" fontId="0" fillId="4" borderId="35" xfId="0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center" vertical="center" wrapText="1"/>
    </xf>
    <xf numFmtId="0" fontId="0" fillId="4" borderId="31" xfId="0" applyNumberFormat="1" applyFont="1" applyFill="1" applyBorder="1" applyAlignment="1" applyProtection="1">
      <alignment horizontal="center" vertical="center" wrapText="1"/>
    </xf>
    <xf numFmtId="0" fontId="0" fillId="4" borderId="36" xfId="0" applyNumberFormat="1" applyFont="1" applyFill="1" applyBorder="1" applyAlignment="1" applyProtection="1">
      <alignment horizontal="center" vertical="center" wrapText="1"/>
    </xf>
    <xf numFmtId="0" fontId="16" fillId="2" borderId="35" xfId="0" applyFont="1" applyFill="1" applyBorder="1" applyAlignment="1" applyProtection="1">
      <alignment vertical="top" wrapText="1"/>
    </xf>
    <xf numFmtId="0" fontId="0" fillId="2" borderId="36" xfId="0" applyFill="1" applyBorder="1" applyAlignment="1" applyProtection="1">
      <alignment wrapText="1"/>
    </xf>
    <xf numFmtId="0" fontId="11" fillId="2" borderId="2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 wrapText="1"/>
    </xf>
    <xf numFmtId="2" fontId="0" fillId="5" borderId="42" xfId="0" quotePrefix="1" applyNumberFormat="1" applyFill="1" applyBorder="1" applyAlignment="1" applyProtection="1">
      <alignment horizontal="center" vertical="center" wrapText="1"/>
    </xf>
    <xf numFmtId="0" fontId="0" fillId="13" borderId="0" xfId="0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6" borderId="39" xfId="0" applyFont="1" applyFill="1" applyBorder="1" applyAlignment="1" applyProtection="1">
      <alignment horizontal="left" vertical="center" wrapText="1"/>
    </xf>
    <xf numFmtId="4" fontId="0" fillId="0" borderId="67" xfId="0" applyNumberFormat="1" applyBorder="1" applyAlignment="1" applyProtection="1">
      <alignment horizontal="right" vertical="center" wrapText="1" indent="1"/>
    </xf>
    <xf numFmtId="0" fontId="0" fillId="9" borderId="33" xfId="0" applyFill="1" applyBorder="1" applyAlignment="1" applyProtection="1">
      <alignment wrapText="1"/>
    </xf>
    <xf numFmtId="166" fontId="0" fillId="3" borderId="11" xfId="0" applyNumberFormat="1" applyFill="1" applyBorder="1" applyAlignment="1" applyProtection="1">
      <alignment horizontal="center" vertical="center" wrapText="1"/>
      <protection hidden="1"/>
    </xf>
    <xf numFmtId="166" fontId="0" fillId="3" borderId="48" xfId="0" applyNumberFormat="1" applyFill="1" applyBorder="1" applyAlignment="1" applyProtection="1">
      <alignment horizontal="center" vertical="center" wrapText="1"/>
    </xf>
    <xf numFmtId="164" fontId="0" fillId="7" borderId="27" xfId="0" applyNumberFormat="1" applyFill="1" applyBorder="1" applyAlignment="1" applyProtection="1">
      <alignment horizontal="center" vertical="center" wrapText="1"/>
    </xf>
    <xf numFmtId="164" fontId="0" fillId="7" borderId="49" xfId="0" applyNumberFormat="1" applyFill="1" applyBorder="1" applyAlignment="1" applyProtection="1">
      <alignment horizontal="center" vertical="center" wrapText="1"/>
    </xf>
    <xf numFmtId="0" fontId="2" fillId="6" borderId="52" xfId="0" applyFont="1" applyFill="1" applyBorder="1" applyAlignment="1" applyProtection="1">
      <alignment horizontal="center" vertical="center" wrapText="1"/>
    </xf>
    <xf numFmtId="0" fontId="2" fillId="6" borderId="50" xfId="0" applyFont="1" applyFill="1" applyBorder="1" applyAlignment="1" applyProtection="1">
      <alignment horizontal="center" vertical="center" wrapText="1"/>
    </xf>
    <xf numFmtId="0" fontId="2" fillId="6" borderId="53" xfId="0" applyFont="1" applyFill="1" applyBorder="1" applyAlignment="1" applyProtection="1">
      <alignment horizontal="center" vertical="center" wrapText="1"/>
    </xf>
    <xf numFmtId="169" fontId="0" fillId="0" borderId="11" xfId="0" applyNumberFormat="1" applyFill="1" applyBorder="1" applyAlignment="1" applyProtection="1">
      <alignment horizontal="center" vertical="center" wrapText="1"/>
      <protection hidden="1"/>
    </xf>
    <xf numFmtId="169" fontId="0" fillId="0" borderId="62" xfId="0" applyNumberFormat="1" applyFill="1" applyBorder="1" applyAlignment="1" applyProtection="1">
      <alignment horizontal="center" vertical="center" wrapText="1"/>
      <protection hidden="1"/>
    </xf>
    <xf numFmtId="4" fontId="0" fillId="0" borderId="56" xfId="0" applyNumberFormat="1" applyBorder="1" applyAlignment="1" applyProtection="1">
      <alignment horizontal="center" vertical="center" wrapText="1"/>
    </xf>
    <xf numFmtId="4" fontId="0" fillId="0" borderId="58" xfId="0" applyNumberFormat="1" applyBorder="1" applyAlignment="1" applyProtection="1">
      <alignment horizontal="center" vertical="center" wrapText="1"/>
    </xf>
    <xf numFmtId="164" fontId="0" fillId="0" borderId="56" xfId="0" applyNumberForma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 wrapText="1"/>
    </xf>
    <xf numFmtId="164" fontId="0" fillId="7" borderId="42" xfId="0" applyNumberForma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hidden="1"/>
    </xf>
    <xf numFmtId="164" fontId="0" fillId="0" borderId="40" xfId="0" applyNumberFormat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31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36" xfId="0" applyFont="1" applyFill="1" applyBorder="1" applyAlignment="1" applyProtection="1">
      <alignment horizontal="left" vertical="top" wrapText="1"/>
    </xf>
    <xf numFmtId="0" fontId="2" fillId="6" borderId="45" xfId="0" applyFont="1" applyFill="1" applyBorder="1" applyAlignment="1" applyProtection="1">
      <alignment horizontal="center" vertical="center" wrapText="1"/>
    </xf>
    <xf numFmtId="0" fontId="2" fillId="6" borderId="47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left" vertical="top" wrapText="1"/>
    </xf>
    <xf numFmtId="0" fontId="11" fillId="2" borderId="35" xfId="0" applyFont="1" applyFill="1" applyBorder="1" applyAlignment="1" applyProtection="1">
      <alignment horizontal="left" vertical="top" wrapText="1"/>
    </xf>
    <xf numFmtId="0" fontId="0" fillId="8" borderId="51" xfId="0" applyFont="1" applyFill="1" applyBorder="1" applyAlignment="1" applyProtection="1">
      <alignment horizontal="center" vertical="center" wrapText="1"/>
    </xf>
    <xf numFmtId="0" fontId="0" fillId="8" borderId="65" xfId="0" applyFont="1" applyFill="1" applyBorder="1" applyAlignment="1" applyProtection="1">
      <alignment horizontal="center" vertical="center" wrapText="1"/>
    </xf>
    <xf numFmtId="0" fontId="0" fillId="8" borderId="57" xfId="0" applyFont="1" applyFill="1" applyBorder="1" applyAlignment="1" applyProtection="1">
      <alignment horizontal="center" vertical="center" wrapText="1"/>
    </xf>
    <xf numFmtId="0" fontId="0" fillId="8" borderId="5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left" vertical="top" wrapText="1"/>
    </xf>
    <xf numFmtId="0" fontId="16" fillId="2" borderId="6" xfId="0" applyFont="1" applyFill="1" applyBorder="1" applyAlignment="1" applyProtection="1">
      <alignment horizontal="left" vertical="top" wrapText="1"/>
    </xf>
    <xf numFmtId="0" fontId="16" fillId="2" borderId="7" xfId="0" applyFont="1" applyFill="1" applyBorder="1" applyAlignment="1" applyProtection="1">
      <alignment horizontal="left" vertical="top" wrapText="1"/>
    </xf>
    <xf numFmtId="0" fontId="8" fillId="0" borderId="50" xfId="0" applyFont="1" applyFill="1" applyBorder="1" applyAlignment="1" applyProtection="1">
      <alignment horizontal="left" vertical="top" wrapText="1"/>
    </xf>
    <xf numFmtId="0" fontId="8" fillId="0" borderId="53" xfId="0" applyFont="1" applyFill="1" applyBorder="1" applyAlignment="1" applyProtection="1">
      <alignment horizontal="left" vertical="top" wrapText="1"/>
    </xf>
    <xf numFmtId="0" fontId="0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36" xfId="0" applyFont="1" applyFill="1" applyBorder="1" applyAlignment="1" applyProtection="1">
      <alignment horizontal="left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18" fillId="0" borderId="50" xfId="0" applyFont="1" applyFill="1" applyBorder="1" applyAlignment="1" applyProtection="1">
      <alignment horizontal="center" vertical="center" wrapText="1"/>
      <protection locked="0"/>
    </xf>
    <xf numFmtId="0" fontId="18" fillId="0" borderId="53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16" xfId="0" applyFont="1" applyFill="1" applyBorder="1" applyAlignment="1" applyProtection="1">
      <alignment horizontal="center" vertical="center" wrapText="1"/>
    </xf>
    <xf numFmtId="0" fontId="0" fillId="8" borderId="11" xfId="0" applyFont="1" applyFill="1" applyBorder="1" applyAlignment="1" applyProtection="1">
      <alignment horizontal="center" vertical="center" wrapText="1"/>
    </xf>
    <xf numFmtId="0" fontId="0" fillId="8" borderId="12" xfId="0" applyFont="1" applyFill="1" applyBorder="1" applyAlignment="1" applyProtection="1">
      <alignment horizontal="center" vertical="center" wrapText="1"/>
    </xf>
    <xf numFmtId="0" fontId="0" fillId="3" borderId="44" xfId="0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3" borderId="32" xfId="0" applyFont="1" applyFill="1" applyBorder="1" applyAlignment="1" applyProtection="1">
      <alignment horizontal="center" vertical="center" wrapText="1"/>
    </xf>
    <xf numFmtId="0" fontId="0" fillId="3" borderId="54" xfId="0" applyFont="1" applyFill="1" applyBorder="1" applyAlignment="1" applyProtection="1">
      <alignment horizontal="center" vertical="center" wrapText="1"/>
    </xf>
    <xf numFmtId="0" fontId="18" fillId="0" borderId="48" xfId="0" applyFont="1" applyFill="1" applyBorder="1" applyAlignment="1" applyProtection="1">
      <alignment horizontal="center" vertical="center" wrapText="1"/>
      <protection locked="0"/>
    </xf>
    <xf numFmtId="0" fontId="18" fillId="0" borderId="49" xfId="0" applyFont="1" applyFill="1" applyBorder="1" applyAlignment="1" applyProtection="1">
      <alignment horizontal="center" vertical="center" wrapText="1"/>
      <protection locked="0"/>
    </xf>
    <xf numFmtId="0" fontId="0" fillId="3" borderId="55" xfId="0" applyFont="1" applyFill="1" applyBorder="1" applyAlignment="1" applyProtection="1">
      <alignment horizontal="center" vertical="center" wrapText="1"/>
    </xf>
    <xf numFmtId="0" fontId="0" fillId="3" borderId="18" xfId="0" applyFont="1" applyFill="1" applyBorder="1" applyAlignment="1" applyProtection="1">
      <alignment horizontal="center" vertical="center" wrapText="1"/>
    </xf>
    <xf numFmtId="0" fontId="0" fillId="8" borderId="66" xfId="0" applyFont="1" applyFill="1" applyBorder="1" applyAlignment="1" applyProtection="1">
      <alignment horizontal="center" vertical="center" wrapText="1"/>
    </xf>
    <xf numFmtId="0" fontId="0" fillId="8" borderId="46" xfId="0" applyFont="1" applyFill="1" applyBorder="1" applyAlignment="1" applyProtection="1">
      <alignment horizontal="center" vertical="center" wrapText="1"/>
    </xf>
    <xf numFmtId="4" fontId="0" fillId="0" borderId="22" xfId="0" applyNumberFormat="1" applyBorder="1" applyAlignment="1" applyProtection="1">
      <alignment horizontal="center" vertical="center" wrapText="1"/>
    </xf>
    <xf numFmtId="0" fontId="0" fillId="8" borderId="40" xfId="0" applyFont="1" applyFill="1" applyBorder="1" applyAlignment="1" applyProtection="1">
      <alignment horizontal="center" vertical="center" wrapText="1"/>
    </xf>
    <xf numFmtId="0" fontId="0" fillId="8" borderId="65" xfId="0" applyFont="1" applyFill="1" applyBorder="1" applyAlignment="1" applyProtection="1">
      <alignment horizontal="center" vertical="center"/>
    </xf>
    <xf numFmtId="0" fontId="0" fillId="8" borderId="57" xfId="0" applyFont="1" applyFill="1" applyBorder="1" applyAlignment="1" applyProtection="1">
      <alignment horizontal="center" vertical="center"/>
    </xf>
    <xf numFmtId="0" fontId="0" fillId="8" borderId="54" xfId="0" applyFont="1" applyFill="1" applyBorder="1" applyAlignment="1" applyProtection="1">
      <alignment horizontal="center" vertical="center"/>
    </xf>
    <xf numFmtId="0" fontId="2" fillId="6" borderId="45" xfId="0" applyFont="1" applyFill="1" applyBorder="1" applyAlignment="1" applyProtection="1">
      <alignment horizontal="left" vertical="center" wrapText="1"/>
    </xf>
    <xf numFmtId="0" fontId="2" fillId="6" borderId="47" xfId="0" applyFont="1" applyFill="1" applyBorder="1" applyAlignment="1" applyProtection="1">
      <alignment horizontal="left" vertical="center" wrapText="1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8" fillId="0" borderId="36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 vertical="top" wrapText="1"/>
    </xf>
    <xf numFmtId="0" fontId="8" fillId="0" borderId="52" xfId="0" applyFont="1" applyFill="1" applyBorder="1" applyAlignment="1" applyProtection="1">
      <alignment horizontal="left" vertical="top" wrapText="1"/>
    </xf>
    <xf numFmtId="0" fontId="11" fillId="0" borderId="34" xfId="0" applyFont="1" applyFill="1" applyBorder="1" applyAlignment="1" applyProtection="1">
      <alignment horizontal="left" vertical="top" wrapText="1"/>
    </xf>
    <xf numFmtId="0" fontId="11" fillId="0" borderId="35" xfId="0" applyFont="1" applyFill="1" applyBorder="1" applyAlignment="1" applyProtection="1">
      <alignment horizontal="left" vertical="top" wrapText="1"/>
    </xf>
    <xf numFmtId="0" fontId="13" fillId="0" borderId="30" xfId="0" applyFont="1" applyFill="1" applyBorder="1" applyAlignment="1" applyProtection="1">
      <alignment horizontal="left" vertical="top" wrapText="1"/>
    </xf>
    <xf numFmtId="0" fontId="13" fillId="0" borderId="33" xfId="0" applyFont="1" applyFill="1" applyBorder="1" applyAlignment="1" applyProtection="1">
      <alignment horizontal="left" vertical="top" wrapText="1"/>
    </xf>
    <xf numFmtId="0" fontId="13" fillId="0" borderId="38" xfId="0" applyFont="1" applyFill="1" applyBorder="1" applyAlignment="1" applyProtection="1">
      <alignment horizontal="left" vertical="top" wrapText="1"/>
    </xf>
    <xf numFmtId="0" fontId="11" fillId="0" borderId="37" xfId="0" applyFont="1" applyFill="1" applyBorder="1" applyAlignment="1" applyProtection="1">
      <alignment horizontal="left" vertical="top" wrapText="1"/>
    </xf>
    <xf numFmtId="0" fontId="0" fillId="12" borderId="3" xfId="0" applyNumberFormat="1" applyFont="1" applyFill="1" applyBorder="1" applyAlignment="1" applyProtection="1">
      <alignment horizontal="center" vertical="center" wrapText="1"/>
    </xf>
    <xf numFmtId="0" fontId="0" fillId="12" borderId="31" xfId="0" applyNumberFormat="1" applyFont="1" applyFill="1" applyBorder="1" applyAlignment="1" applyProtection="1">
      <alignment horizontal="center" vertical="center" wrapText="1"/>
    </xf>
    <xf numFmtId="0" fontId="0" fillId="12" borderId="36" xfId="0" applyNumberFormat="1" applyFont="1" applyFill="1" applyBorder="1" applyAlignment="1" applyProtection="1">
      <alignment horizontal="center" vertical="center" wrapText="1"/>
    </xf>
    <xf numFmtId="169" fontId="0" fillId="0" borderId="40" xfId="0" applyNumberFormat="1" applyFill="1" applyBorder="1" applyAlignment="1" applyProtection="1">
      <alignment horizontal="center" vertical="center" wrapText="1"/>
      <protection hidden="1"/>
    </xf>
    <xf numFmtId="0" fontId="0" fillId="3" borderId="33" xfId="0" applyFont="1" applyFill="1" applyBorder="1" applyAlignment="1" applyProtection="1">
      <alignment horizontal="center" vertical="center" wrapText="1"/>
    </xf>
    <xf numFmtId="0" fontId="0" fillId="3" borderId="5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top" wrapText="1"/>
    </xf>
    <xf numFmtId="0" fontId="21" fillId="0" borderId="0" xfId="0" applyFont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E8AC"/>
      <color rgb="FFE8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ätigkeiten" displayName="Tätigkeiten" ref="B3:B8" totalsRowShown="0">
  <autoFilter ref="B3:B8" xr:uid="{00000000-0009-0000-0100-000002000000}"/>
  <tableColumns count="1">
    <tableColumn id="1" xr3:uid="{00000000-0010-0000-0000-000001000000}" name="Tätigkeit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gkultur.at/service/verein/gehaltsschema-und-honorarrichtlinien-fuer-kulturarbeit" TargetMode="External"/><Relationship Id="rId1" Type="http://schemas.openxmlformats.org/officeDocument/2006/relationships/hyperlink" Target="https://igkultur.at/sites/default/files/posts/downloads/2023-10-01/Gehaltsschema_Kulturarbeit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gkultur.at/honorarempfehlungen-fuer-selbstaendige-kulturarbe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gbildendekunst.at/infomaterial/honorar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freietheater.at/honoraruntergrenz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musicaustria.at/praxiswissen/fair-pay-mindesthonorarempfehlungen-fuer-den-musikbereich/" TargetMode="External"/><Relationship Id="rId1" Type="http://schemas.openxmlformats.org/officeDocument/2006/relationships/hyperlink" Target="https://www.musicaustria.at/praxiswissen/fair-pay-mindesthonorarempfehlungen-fuer-den-musikbereich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gautorinnenautoren.at/service/wissen/mindesthonorar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U53"/>
  <sheetViews>
    <sheetView showGridLines="0" tabSelected="1" zoomScale="85" zoomScaleNormal="85" workbookViewId="0">
      <selection activeCell="B18" sqref="B18"/>
    </sheetView>
  </sheetViews>
  <sheetFormatPr baseColWidth="10" defaultColWidth="0" defaultRowHeight="15" zeroHeight="1" x14ac:dyDescent="0.25"/>
  <cols>
    <col min="1" max="1" width="61.7109375" style="1" customWidth="1"/>
    <col min="2" max="7" width="18.28515625" style="8" customWidth="1"/>
    <col min="8" max="8" width="21.5703125" style="8" customWidth="1"/>
    <col min="9" max="11" width="18.28515625" style="8" customWidth="1"/>
    <col min="12" max="12" width="9.28515625" style="8" customWidth="1"/>
    <col min="13" max="16" width="15.7109375" style="8" hidden="1" customWidth="1"/>
    <col min="17" max="19" width="11.5703125" style="71" customWidth="1"/>
    <col min="20" max="21" width="0" style="1" hidden="1" customWidth="1"/>
    <col min="22" max="16384" width="11.5703125" style="1" hidden="1"/>
  </cols>
  <sheetData>
    <row r="1" spans="1:20" ht="70.5" customHeight="1" thickBot="1" x14ac:dyDescent="0.3">
      <c r="A1" s="194" t="s">
        <v>107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6"/>
      <c r="Q1" s="70"/>
    </row>
    <row r="2" spans="1:20" ht="28.9" customHeight="1" x14ac:dyDescent="0.25">
      <c r="A2" s="1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70"/>
    </row>
    <row r="3" spans="1:20" ht="28.9" customHeight="1" thickBot="1" x14ac:dyDescent="0.3">
      <c r="A3" s="69" t="s">
        <v>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8"/>
      <c r="Q3" s="70"/>
    </row>
    <row r="4" spans="1:20" ht="31.5" customHeight="1" thickBot="1" x14ac:dyDescent="0.3">
      <c r="A4" s="2"/>
      <c r="B4" s="154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6"/>
      <c r="Q4" s="70"/>
    </row>
    <row r="5" spans="1:20" ht="15" customHeight="1" x14ac:dyDescent="0.25">
      <c r="A5" s="185" t="s">
        <v>47</v>
      </c>
      <c r="B5" s="199" t="s">
        <v>48</v>
      </c>
      <c r="C5" s="36"/>
      <c r="D5" s="199" t="s">
        <v>26</v>
      </c>
      <c r="E5" s="201" t="s">
        <v>2</v>
      </c>
      <c r="F5" s="202"/>
      <c r="G5" s="202"/>
      <c r="H5" s="202"/>
      <c r="I5" s="179" t="s">
        <v>106</v>
      </c>
      <c r="J5" s="180"/>
      <c r="K5" s="179" t="s">
        <v>25</v>
      </c>
      <c r="L5" s="211"/>
      <c r="M5" s="205" t="s">
        <v>23</v>
      </c>
      <c r="N5" s="203" t="s">
        <v>24</v>
      </c>
      <c r="O5" s="203" t="s">
        <v>22</v>
      </c>
      <c r="P5" s="209" t="s">
        <v>21</v>
      </c>
    </row>
    <row r="6" spans="1:20" ht="75" customHeight="1" x14ac:dyDescent="0.25">
      <c r="A6" s="186"/>
      <c r="B6" s="200"/>
      <c r="C6" s="35" t="s">
        <v>18</v>
      </c>
      <c r="D6" s="200"/>
      <c r="E6" s="17" t="s">
        <v>104</v>
      </c>
      <c r="F6" s="17" t="s">
        <v>105</v>
      </c>
      <c r="G6" s="17" t="s">
        <v>50</v>
      </c>
      <c r="H6" s="36" t="s">
        <v>108</v>
      </c>
      <c r="I6" s="181"/>
      <c r="J6" s="182"/>
      <c r="K6" s="181"/>
      <c r="L6" s="212"/>
      <c r="M6" s="206"/>
      <c r="N6" s="204"/>
      <c r="O6" s="204"/>
      <c r="P6" s="210"/>
      <c r="R6" s="76"/>
      <c r="T6" s="23"/>
    </row>
    <row r="7" spans="1:20" ht="22.7" customHeight="1" x14ac:dyDescent="0.25">
      <c r="A7" s="84"/>
      <c r="B7" s="26"/>
      <c r="C7" s="25"/>
      <c r="D7" s="25"/>
      <c r="E7" s="30"/>
      <c r="F7" s="91">
        <f>(IFERROR(INDEX('Gehaltsschema Personalkosten'!$A$4:$L$12,MATCH(C7,'Gehaltsschema Personalkosten'!$A$4:$A$12,0),MATCH(D7,'Gehaltsschema Personalkosten'!$A$4:$L$4,0)),0)*(B7/38.5))</f>
        <v>0</v>
      </c>
      <c r="G7" s="91">
        <f>F7*14</f>
        <v>0</v>
      </c>
      <c r="H7" s="92">
        <f>(E7-F7)*14</f>
        <v>0</v>
      </c>
      <c r="I7" s="164">
        <f>(H7*0.243)/2</f>
        <v>0</v>
      </c>
      <c r="J7" s="165"/>
      <c r="K7" s="157">
        <f>IFERROR((E7-F7)/E7,0)</f>
        <v>0</v>
      </c>
      <c r="L7" s="158"/>
      <c r="M7" s="33">
        <v>0</v>
      </c>
      <c r="N7" s="93">
        <f t="shared" ref="N7:N22" si="0">IFERROR(M7/I7,0)</f>
        <v>0</v>
      </c>
      <c r="O7" s="33">
        <v>0</v>
      </c>
      <c r="P7" s="94">
        <f t="shared" ref="P7:P22" si="1">IFERROR(O7/J7,0)</f>
        <v>0</v>
      </c>
      <c r="R7" s="77"/>
      <c r="S7" s="53"/>
      <c r="T7" s="24"/>
    </row>
    <row r="8" spans="1:20" ht="22.7" customHeight="1" x14ac:dyDescent="0.25">
      <c r="A8" s="84"/>
      <c r="B8" s="26"/>
      <c r="C8" s="25"/>
      <c r="D8" s="25"/>
      <c r="E8" s="30"/>
      <c r="F8" s="91">
        <f>(IFERROR(INDEX('Gehaltsschema Personalkosten'!$A$4:$L$12,MATCH(C8,'Gehaltsschema Personalkosten'!$A$4:$A$12,0),MATCH(D8,'Gehaltsschema Personalkosten'!$A$4:$L$4,0)),0)*(B8/38.5))</f>
        <v>0</v>
      </c>
      <c r="G8" s="91">
        <f t="shared" ref="G8:G21" si="2">F8*14</f>
        <v>0</v>
      </c>
      <c r="H8" s="92">
        <f>(E8-F8)*14</f>
        <v>0</v>
      </c>
      <c r="I8" s="164">
        <f t="shared" ref="I8:I22" si="3">(H8*0.243)/2</f>
        <v>0</v>
      </c>
      <c r="J8" s="165"/>
      <c r="K8" s="157">
        <f t="shared" ref="K8:K22" si="4">IFERROR((E8-F8)/E8,0)</f>
        <v>0</v>
      </c>
      <c r="L8" s="158"/>
      <c r="M8" s="33">
        <v>187.11</v>
      </c>
      <c r="N8" s="93">
        <f t="shared" si="0"/>
        <v>0</v>
      </c>
      <c r="O8" s="33">
        <v>130</v>
      </c>
      <c r="P8" s="94">
        <f t="shared" si="1"/>
        <v>0</v>
      </c>
      <c r="R8" s="78"/>
      <c r="T8" s="24"/>
    </row>
    <row r="9" spans="1:20" ht="22.7" customHeight="1" x14ac:dyDescent="0.25">
      <c r="A9" s="84"/>
      <c r="B9" s="26"/>
      <c r="C9" s="25"/>
      <c r="D9" s="25"/>
      <c r="E9" s="30"/>
      <c r="F9" s="91">
        <f>(IFERROR(INDEX('Gehaltsschema Personalkosten'!$A$4:$L$12,MATCH(C9,'Gehaltsschema Personalkosten'!$A$4:$A$12,0),MATCH(D9,'Gehaltsschema Personalkosten'!$A$4:$L$4,0)),0)*(B9/38.5))</f>
        <v>0</v>
      </c>
      <c r="G9" s="91">
        <f>F9*14</f>
        <v>0</v>
      </c>
      <c r="H9" s="92">
        <f t="shared" ref="H9:H22" si="5">(E9-F9)*14</f>
        <v>0</v>
      </c>
      <c r="I9" s="164">
        <f t="shared" si="3"/>
        <v>0</v>
      </c>
      <c r="J9" s="165">
        <f t="shared" ref="J9:J22" si="6">H9*0.185</f>
        <v>0</v>
      </c>
      <c r="K9" s="157">
        <f t="shared" si="4"/>
        <v>0</v>
      </c>
      <c r="L9" s="158"/>
      <c r="M9" s="33">
        <v>1212</v>
      </c>
      <c r="N9" s="93">
        <f t="shared" si="0"/>
        <v>0</v>
      </c>
      <c r="O9" s="33">
        <v>900</v>
      </c>
      <c r="P9" s="94">
        <f t="shared" si="1"/>
        <v>0</v>
      </c>
      <c r="R9" s="77"/>
      <c r="T9" s="24"/>
    </row>
    <row r="10" spans="1:20" ht="22.7" customHeight="1" x14ac:dyDescent="0.25">
      <c r="A10" s="84"/>
      <c r="B10" s="26"/>
      <c r="C10" s="25"/>
      <c r="D10" s="25"/>
      <c r="E10" s="30"/>
      <c r="F10" s="91">
        <f>(IFERROR(INDEX('Gehaltsschema Personalkosten'!$A$4:$L$12,MATCH(C10,'Gehaltsschema Personalkosten'!$A$4:$A$12,0),MATCH(D10,'Gehaltsschema Personalkosten'!$A$4:$L$4,0)),0)*(B10/38.5))</f>
        <v>0</v>
      </c>
      <c r="G10" s="91">
        <f t="shared" si="2"/>
        <v>0</v>
      </c>
      <c r="H10" s="92">
        <f t="shared" si="5"/>
        <v>0</v>
      </c>
      <c r="I10" s="164">
        <f t="shared" si="3"/>
        <v>0</v>
      </c>
      <c r="J10" s="165">
        <f t="shared" si="6"/>
        <v>0</v>
      </c>
      <c r="K10" s="157">
        <f t="shared" si="4"/>
        <v>0</v>
      </c>
      <c r="L10" s="158"/>
      <c r="M10" s="33"/>
      <c r="N10" s="93">
        <f t="shared" si="0"/>
        <v>0</v>
      </c>
      <c r="O10" s="33"/>
      <c r="P10" s="94">
        <f t="shared" si="1"/>
        <v>0</v>
      </c>
      <c r="R10" s="77"/>
      <c r="T10" s="24"/>
    </row>
    <row r="11" spans="1:20" ht="22.7" customHeight="1" x14ac:dyDescent="0.25">
      <c r="A11" s="84"/>
      <c r="B11" s="26"/>
      <c r="C11" s="25"/>
      <c r="D11" s="25"/>
      <c r="E11" s="30"/>
      <c r="F11" s="91">
        <f>(IFERROR(INDEX('Gehaltsschema Personalkosten'!$A$4:$L$12,MATCH(C11,'Gehaltsschema Personalkosten'!$A$4:$A$12,0),MATCH(D11,'Gehaltsschema Personalkosten'!$A$4:$L$4,0)),0)*(B11/38.5))</f>
        <v>0</v>
      </c>
      <c r="G11" s="91">
        <f t="shared" si="2"/>
        <v>0</v>
      </c>
      <c r="H11" s="92">
        <f t="shared" si="5"/>
        <v>0</v>
      </c>
      <c r="I11" s="164">
        <f t="shared" si="3"/>
        <v>0</v>
      </c>
      <c r="J11" s="165">
        <f t="shared" si="6"/>
        <v>0</v>
      </c>
      <c r="K11" s="157">
        <f t="shared" si="4"/>
        <v>0</v>
      </c>
      <c r="L11" s="158"/>
      <c r="M11" s="33"/>
      <c r="N11" s="93">
        <f t="shared" si="0"/>
        <v>0</v>
      </c>
      <c r="O11" s="33"/>
      <c r="P11" s="94">
        <f t="shared" si="1"/>
        <v>0</v>
      </c>
      <c r="R11" s="77"/>
      <c r="T11" s="24"/>
    </row>
    <row r="12" spans="1:20" ht="22.7" customHeight="1" x14ac:dyDescent="0.25">
      <c r="A12" s="84"/>
      <c r="B12" s="26"/>
      <c r="C12" s="25"/>
      <c r="D12" s="25"/>
      <c r="E12" s="30"/>
      <c r="F12" s="91">
        <f>(IFERROR(INDEX('Gehaltsschema Personalkosten'!$A$4:$L$12,MATCH(C12,'Gehaltsschema Personalkosten'!$A$4:$A$12,0),MATCH(D12,'Gehaltsschema Personalkosten'!$A$4:$L$4,0)),0)*(B12/38.5))</f>
        <v>0</v>
      </c>
      <c r="G12" s="91">
        <f t="shared" si="2"/>
        <v>0</v>
      </c>
      <c r="H12" s="92">
        <f t="shared" si="5"/>
        <v>0</v>
      </c>
      <c r="I12" s="164">
        <f t="shared" si="3"/>
        <v>0</v>
      </c>
      <c r="J12" s="165">
        <f t="shared" si="6"/>
        <v>0</v>
      </c>
      <c r="K12" s="157">
        <f t="shared" si="4"/>
        <v>0</v>
      </c>
      <c r="L12" s="158"/>
      <c r="M12" s="33"/>
      <c r="N12" s="93">
        <f t="shared" si="0"/>
        <v>0</v>
      </c>
      <c r="O12" s="33"/>
      <c r="P12" s="94">
        <f t="shared" si="1"/>
        <v>0</v>
      </c>
      <c r="R12" s="77"/>
      <c r="T12" s="24"/>
    </row>
    <row r="13" spans="1:20" ht="22.7" customHeight="1" x14ac:dyDescent="0.25">
      <c r="A13" s="84"/>
      <c r="B13" s="26"/>
      <c r="C13" s="25"/>
      <c r="D13" s="25"/>
      <c r="E13" s="30"/>
      <c r="F13" s="91">
        <f>(IFERROR(INDEX('Gehaltsschema Personalkosten'!$A$4:$L$12,MATCH(C13,'Gehaltsschema Personalkosten'!$A$4:$A$12,0),MATCH(D13,'Gehaltsschema Personalkosten'!$A$4:$L$4,0)),0)*(B13/38.5))</f>
        <v>0</v>
      </c>
      <c r="G13" s="91">
        <f t="shared" si="2"/>
        <v>0</v>
      </c>
      <c r="H13" s="92">
        <f t="shared" si="5"/>
        <v>0</v>
      </c>
      <c r="I13" s="164">
        <f t="shared" si="3"/>
        <v>0</v>
      </c>
      <c r="J13" s="165">
        <f t="shared" si="6"/>
        <v>0</v>
      </c>
      <c r="K13" s="157">
        <f t="shared" si="4"/>
        <v>0</v>
      </c>
      <c r="L13" s="158"/>
      <c r="M13" s="33"/>
      <c r="N13" s="93">
        <f t="shared" si="0"/>
        <v>0</v>
      </c>
      <c r="O13" s="33"/>
      <c r="P13" s="94">
        <f t="shared" si="1"/>
        <v>0</v>
      </c>
      <c r="R13" s="77"/>
      <c r="T13" s="24"/>
    </row>
    <row r="14" spans="1:20" ht="22.7" customHeight="1" x14ac:dyDescent="0.25">
      <c r="A14" s="84"/>
      <c r="B14" s="26"/>
      <c r="C14" s="25"/>
      <c r="D14" s="25"/>
      <c r="E14" s="30"/>
      <c r="F14" s="91">
        <f>(IFERROR(INDEX('Gehaltsschema Personalkosten'!$A$4:$L$12,MATCH(C14,'Gehaltsschema Personalkosten'!$A$4:$A$12,0),MATCH(D14,'Gehaltsschema Personalkosten'!$A$4:$L$4,0)),0)*(B14/38.5))</f>
        <v>0</v>
      </c>
      <c r="G14" s="91">
        <f t="shared" si="2"/>
        <v>0</v>
      </c>
      <c r="H14" s="92">
        <f t="shared" si="5"/>
        <v>0</v>
      </c>
      <c r="I14" s="164">
        <f t="shared" si="3"/>
        <v>0</v>
      </c>
      <c r="J14" s="165">
        <f t="shared" si="6"/>
        <v>0</v>
      </c>
      <c r="K14" s="157">
        <f t="shared" si="4"/>
        <v>0</v>
      </c>
      <c r="L14" s="158"/>
      <c r="M14" s="33"/>
      <c r="N14" s="93">
        <f t="shared" si="0"/>
        <v>0</v>
      </c>
      <c r="O14" s="33"/>
      <c r="P14" s="94">
        <f t="shared" si="1"/>
        <v>0</v>
      </c>
      <c r="R14" s="77"/>
      <c r="T14" s="24"/>
    </row>
    <row r="15" spans="1:20" ht="22.7" customHeight="1" x14ac:dyDescent="0.25">
      <c r="A15" s="84"/>
      <c r="B15" s="26"/>
      <c r="C15" s="25"/>
      <c r="D15" s="25"/>
      <c r="E15" s="30"/>
      <c r="F15" s="91">
        <f>(IFERROR(INDEX('Gehaltsschema Personalkosten'!$A$4:$L$12,MATCH(C15,'Gehaltsschema Personalkosten'!$A$4:$A$12,0),MATCH(D15,'Gehaltsschema Personalkosten'!$A$4:$L$4,0)),0)*(B15/38.5))</f>
        <v>0</v>
      </c>
      <c r="G15" s="91">
        <f t="shared" si="2"/>
        <v>0</v>
      </c>
      <c r="H15" s="92">
        <f t="shared" si="5"/>
        <v>0</v>
      </c>
      <c r="I15" s="164">
        <f t="shared" si="3"/>
        <v>0</v>
      </c>
      <c r="J15" s="165">
        <f t="shared" si="6"/>
        <v>0</v>
      </c>
      <c r="K15" s="157">
        <f t="shared" si="4"/>
        <v>0</v>
      </c>
      <c r="L15" s="158"/>
      <c r="M15" s="33"/>
      <c r="N15" s="93">
        <f t="shared" si="0"/>
        <v>0</v>
      </c>
      <c r="O15" s="33"/>
      <c r="P15" s="94">
        <f t="shared" si="1"/>
        <v>0</v>
      </c>
      <c r="R15" s="77"/>
      <c r="T15" s="24"/>
    </row>
    <row r="16" spans="1:20" ht="22.7" customHeight="1" x14ac:dyDescent="0.25">
      <c r="A16" s="84"/>
      <c r="B16" s="26"/>
      <c r="C16" s="25"/>
      <c r="D16" s="25"/>
      <c r="E16" s="30"/>
      <c r="F16" s="91">
        <f>(IFERROR(INDEX('Gehaltsschema Personalkosten'!$A$4:$L$12,MATCH(C16,'Gehaltsschema Personalkosten'!$A$4:$A$12,0),MATCH(D16,'Gehaltsschema Personalkosten'!$A$4:$L$4,0)),0)*(B16/38.5))</f>
        <v>0</v>
      </c>
      <c r="G16" s="91">
        <f t="shared" si="2"/>
        <v>0</v>
      </c>
      <c r="H16" s="92">
        <f t="shared" si="5"/>
        <v>0</v>
      </c>
      <c r="I16" s="164">
        <f t="shared" si="3"/>
        <v>0</v>
      </c>
      <c r="J16" s="165">
        <f t="shared" si="6"/>
        <v>0</v>
      </c>
      <c r="K16" s="157">
        <f t="shared" si="4"/>
        <v>0</v>
      </c>
      <c r="L16" s="158"/>
      <c r="M16" s="33"/>
      <c r="N16" s="93">
        <f t="shared" si="0"/>
        <v>0</v>
      </c>
      <c r="O16" s="33"/>
      <c r="P16" s="95">
        <f t="shared" si="1"/>
        <v>0</v>
      </c>
      <c r="R16" s="77"/>
      <c r="T16" s="24"/>
    </row>
    <row r="17" spans="1:20" ht="22.7" customHeight="1" x14ac:dyDescent="0.25">
      <c r="A17" s="84"/>
      <c r="B17" s="26"/>
      <c r="C17" s="25"/>
      <c r="D17" s="25"/>
      <c r="E17" s="30"/>
      <c r="F17" s="91">
        <f>(IFERROR(INDEX('Gehaltsschema Personalkosten'!$A$4:$L$12,MATCH(C17,'Gehaltsschema Personalkosten'!$A$4:$A$12,0),MATCH(D17,'Gehaltsschema Personalkosten'!$A$4:$L$4,0)),0)*(B17/38.5))</f>
        <v>0</v>
      </c>
      <c r="G17" s="91">
        <f t="shared" si="2"/>
        <v>0</v>
      </c>
      <c r="H17" s="92">
        <f t="shared" si="5"/>
        <v>0</v>
      </c>
      <c r="I17" s="164">
        <f t="shared" si="3"/>
        <v>0</v>
      </c>
      <c r="J17" s="165">
        <f t="shared" si="6"/>
        <v>0</v>
      </c>
      <c r="K17" s="157">
        <f t="shared" si="4"/>
        <v>0</v>
      </c>
      <c r="L17" s="158"/>
      <c r="M17" s="33"/>
      <c r="N17" s="93">
        <f t="shared" si="0"/>
        <v>0</v>
      </c>
      <c r="O17" s="33"/>
      <c r="P17" s="94">
        <f t="shared" si="1"/>
        <v>0</v>
      </c>
      <c r="R17" s="77"/>
      <c r="T17" s="24"/>
    </row>
    <row r="18" spans="1:20" ht="22.7" customHeight="1" x14ac:dyDescent="0.25">
      <c r="A18" s="84"/>
      <c r="B18" s="26"/>
      <c r="C18" s="25"/>
      <c r="D18" s="25"/>
      <c r="E18" s="30"/>
      <c r="F18" s="91">
        <f>(IFERROR(INDEX('Gehaltsschema Personalkosten'!$A$4:$L$12,MATCH(C18,'Gehaltsschema Personalkosten'!$A$4:$A$12,0),MATCH(D18,'Gehaltsschema Personalkosten'!$A$4:$L$4,0)),0)*(B18/38.5))</f>
        <v>0</v>
      </c>
      <c r="G18" s="91">
        <f t="shared" si="2"/>
        <v>0</v>
      </c>
      <c r="H18" s="92">
        <f t="shared" si="5"/>
        <v>0</v>
      </c>
      <c r="I18" s="164">
        <f t="shared" si="3"/>
        <v>0</v>
      </c>
      <c r="J18" s="165">
        <f t="shared" si="6"/>
        <v>0</v>
      </c>
      <c r="K18" s="157">
        <f t="shared" si="4"/>
        <v>0</v>
      </c>
      <c r="L18" s="158"/>
      <c r="M18" s="33"/>
      <c r="N18" s="93">
        <f t="shared" si="0"/>
        <v>0</v>
      </c>
      <c r="O18" s="33"/>
      <c r="P18" s="94">
        <f t="shared" si="1"/>
        <v>0</v>
      </c>
      <c r="R18" s="77"/>
      <c r="T18" s="24"/>
    </row>
    <row r="19" spans="1:20" ht="22.7" customHeight="1" x14ac:dyDescent="0.25">
      <c r="A19" s="84"/>
      <c r="B19" s="26"/>
      <c r="C19" s="25"/>
      <c r="D19" s="25"/>
      <c r="E19" s="30"/>
      <c r="F19" s="91">
        <f>(IFERROR(INDEX('Gehaltsschema Personalkosten'!$A$4:$L$12,MATCH(C19,'Gehaltsschema Personalkosten'!$A$4:$A$12,0),MATCH(D19,'Gehaltsschema Personalkosten'!$A$4:$L$4,0)),0)*(B19/38.5))</f>
        <v>0</v>
      </c>
      <c r="G19" s="91">
        <f t="shared" si="2"/>
        <v>0</v>
      </c>
      <c r="H19" s="92">
        <f t="shared" si="5"/>
        <v>0</v>
      </c>
      <c r="I19" s="164">
        <f t="shared" si="3"/>
        <v>0</v>
      </c>
      <c r="J19" s="165">
        <f t="shared" si="6"/>
        <v>0</v>
      </c>
      <c r="K19" s="157">
        <f t="shared" si="4"/>
        <v>0</v>
      </c>
      <c r="L19" s="158"/>
      <c r="M19" s="33"/>
      <c r="N19" s="93">
        <f t="shared" si="0"/>
        <v>0</v>
      </c>
      <c r="O19" s="33"/>
      <c r="P19" s="94">
        <f t="shared" si="1"/>
        <v>0</v>
      </c>
      <c r="R19" s="77"/>
      <c r="T19" s="24"/>
    </row>
    <row r="20" spans="1:20" ht="22.7" customHeight="1" x14ac:dyDescent="0.25">
      <c r="A20" s="84"/>
      <c r="B20" s="26"/>
      <c r="C20" s="25"/>
      <c r="D20" s="25"/>
      <c r="E20" s="30"/>
      <c r="F20" s="91">
        <f>(IFERROR(INDEX('Gehaltsschema Personalkosten'!$A$4:$L$12,MATCH(C20,'Gehaltsschema Personalkosten'!$A$4:$A$12,0),MATCH(D20,'Gehaltsschema Personalkosten'!$A$4:$L$4,0)),0)*(B20/38.5))</f>
        <v>0</v>
      </c>
      <c r="G20" s="91">
        <f t="shared" si="2"/>
        <v>0</v>
      </c>
      <c r="H20" s="92">
        <f t="shared" si="5"/>
        <v>0</v>
      </c>
      <c r="I20" s="164">
        <f t="shared" si="3"/>
        <v>0</v>
      </c>
      <c r="J20" s="165">
        <f t="shared" si="6"/>
        <v>0</v>
      </c>
      <c r="K20" s="157">
        <f t="shared" si="4"/>
        <v>0</v>
      </c>
      <c r="L20" s="158"/>
      <c r="M20" s="33"/>
      <c r="N20" s="93">
        <f t="shared" si="0"/>
        <v>0</v>
      </c>
      <c r="O20" s="33"/>
      <c r="P20" s="94">
        <f t="shared" si="1"/>
        <v>0</v>
      </c>
      <c r="R20" s="77"/>
      <c r="T20" s="24"/>
    </row>
    <row r="21" spans="1:20" ht="22.7" customHeight="1" x14ac:dyDescent="0.25">
      <c r="A21" s="84"/>
      <c r="B21" s="26"/>
      <c r="C21" s="25"/>
      <c r="D21" s="25"/>
      <c r="E21" s="30"/>
      <c r="F21" s="91">
        <f>(IFERROR(INDEX('Gehaltsschema Personalkosten'!$A$4:$L$12,MATCH(C21,'Gehaltsschema Personalkosten'!$A$4:$A$12,0),MATCH(D21,'Gehaltsschema Personalkosten'!$A$4:$L$4,0)),0)*(B21/38.5))</f>
        <v>0</v>
      </c>
      <c r="G21" s="91">
        <f t="shared" si="2"/>
        <v>0</v>
      </c>
      <c r="H21" s="92">
        <f t="shared" si="5"/>
        <v>0</v>
      </c>
      <c r="I21" s="164">
        <f t="shared" si="3"/>
        <v>0</v>
      </c>
      <c r="J21" s="165">
        <f t="shared" si="6"/>
        <v>0</v>
      </c>
      <c r="K21" s="157">
        <f t="shared" si="4"/>
        <v>0</v>
      </c>
      <c r="L21" s="158"/>
      <c r="M21" s="33"/>
      <c r="N21" s="93">
        <f t="shared" si="0"/>
        <v>0</v>
      </c>
      <c r="O21" s="33"/>
      <c r="P21" s="94">
        <f t="shared" si="1"/>
        <v>0</v>
      </c>
      <c r="R21" s="77"/>
      <c r="T21" s="24"/>
    </row>
    <row r="22" spans="1:20" ht="22.7" customHeight="1" x14ac:dyDescent="0.25">
      <c r="A22" s="84"/>
      <c r="B22" s="26"/>
      <c r="C22" s="25"/>
      <c r="D22" s="25"/>
      <c r="E22" s="30"/>
      <c r="F22" s="91">
        <f>(IFERROR(INDEX('Gehaltsschema Personalkosten'!$A$4:$L$12,MATCH(C22,'Gehaltsschema Personalkosten'!$A$4:$A$12,0),MATCH(D22,'Gehaltsschema Personalkosten'!$A$4:$L$4,0)),0)*(B22/38.5))</f>
        <v>0</v>
      </c>
      <c r="G22" s="91">
        <f>F22*14</f>
        <v>0</v>
      </c>
      <c r="H22" s="92">
        <f t="shared" si="5"/>
        <v>0</v>
      </c>
      <c r="I22" s="164">
        <f t="shared" si="3"/>
        <v>0</v>
      </c>
      <c r="J22" s="165">
        <f t="shared" si="6"/>
        <v>0</v>
      </c>
      <c r="K22" s="157">
        <f t="shared" si="4"/>
        <v>0</v>
      </c>
      <c r="L22" s="158"/>
      <c r="M22" s="33"/>
      <c r="N22" s="93">
        <f t="shared" si="0"/>
        <v>0</v>
      </c>
      <c r="O22" s="33"/>
      <c r="P22" s="94">
        <f t="shared" si="1"/>
        <v>0</v>
      </c>
      <c r="R22" s="77"/>
      <c r="T22" s="24"/>
    </row>
    <row r="23" spans="1:20" x14ac:dyDescent="0.25">
      <c r="A23" s="66" t="s">
        <v>82</v>
      </c>
      <c r="B23" s="64"/>
      <c r="C23" s="38"/>
      <c r="D23" s="38"/>
      <c r="E23" s="39"/>
      <c r="F23" s="54"/>
      <c r="G23" s="54"/>
      <c r="H23" s="39"/>
      <c r="I23" s="161"/>
      <c r="J23" s="162"/>
      <c r="K23" s="159"/>
      <c r="L23" s="160"/>
      <c r="M23" s="40"/>
      <c r="N23" s="41"/>
      <c r="O23" s="39"/>
      <c r="P23" s="42"/>
    </row>
    <row r="24" spans="1:20" x14ac:dyDescent="0.25">
      <c r="A24" s="66" t="s">
        <v>85</v>
      </c>
      <c r="B24" s="99"/>
      <c r="C24" s="38"/>
      <c r="D24" s="39"/>
      <c r="E24" s="39"/>
      <c r="F24" s="39"/>
      <c r="G24" s="39"/>
      <c r="H24" s="39"/>
      <c r="I24" s="161"/>
      <c r="J24" s="162"/>
      <c r="K24" s="159"/>
      <c r="L24" s="160"/>
      <c r="M24" s="40"/>
      <c r="N24" s="42"/>
      <c r="O24" s="71"/>
      <c r="P24" s="71"/>
    </row>
    <row r="25" spans="1:20" x14ac:dyDescent="0.25">
      <c r="A25" s="66" t="s">
        <v>83</v>
      </c>
      <c r="B25" s="64"/>
      <c r="C25" s="38"/>
      <c r="D25" s="38"/>
      <c r="E25" s="39"/>
      <c r="F25" s="39"/>
      <c r="G25" s="39"/>
      <c r="H25" s="39"/>
      <c r="I25" s="161"/>
      <c r="J25" s="162"/>
      <c r="K25" s="159"/>
      <c r="L25" s="160"/>
      <c r="M25" s="40"/>
      <c r="N25" s="41"/>
      <c r="O25" s="39"/>
      <c r="P25" s="42"/>
    </row>
    <row r="26" spans="1:20" x14ac:dyDescent="0.25">
      <c r="A26" s="66" t="s">
        <v>84</v>
      </c>
      <c r="B26" s="64"/>
      <c r="C26" s="38"/>
      <c r="D26" s="38"/>
      <c r="E26" s="39"/>
      <c r="F26" s="39"/>
      <c r="G26" s="39"/>
      <c r="H26" s="39"/>
      <c r="I26" s="161"/>
      <c r="J26" s="162"/>
      <c r="K26" s="159"/>
      <c r="L26" s="160"/>
      <c r="M26" s="40"/>
      <c r="N26" s="41"/>
      <c r="O26" s="39"/>
      <c r="P26" s="42"/>
    </row>
    <row r="27" spans="1:20" ht="15.75" thickBot="1" x14ac:dyDescent="0.3">
      <c r="A27" s="67" t="s">
        <v>3</v>
      </c>
      <c r="B27" s="65">
        <f>SUM(B7:B26)</f>
        <v>0</v>
      </c>
      <c r="C27" s="37" t="s">
        <v>36</v>
      </c>
      <c r="D27" s="37" t="s">
        <v>36</v>
      </c>
      <c r="E27" s="32">
        <f>SUM(E7:E26)</f>
        <v>0</v>
      </c>
      <c r="F27" s="32">
        <f>SUM(F7:F26)</f>
        <v>0</v>
      </c>
      <c r="G27" s="32">
        <f>SUM(G7:G26)</f>
        <v>0</v>
      </c>
      <c r="H27" s="31">
        <f>SUMIF(H7:H22,"&lt;0",H7:H22)</f>
        <v>0</v>
      </c>
      <c r="I27" s="152">
        <f>SUMIF(I7:I22,"&lt;0",I7:I22)</f>
        <v>0</v>
      </c>
      <c r="J27" s="163"/>
      <c r="K27" s="152" t="s">
        <v>36</v>
      </c>
      <c r="L27" s="153"/>
      <c r="M27" s="51">
        <f t="shared" ref="M27:P27" si="7">SUM(M7:M22)</f>
        <v>1399.1100000000001</v>
      </c>
      <c r="N27" s="45">
        <f t="shared" si="7"/>
        <v>0</v>
      </c>
      <c r="O27" s="46">
        <f t="shared" si="7"/>
        <v>1030</v>
      </c>
      <c r="P27" s="47">
        <f t="shared" si="7"/>
        <v>0</v>
      </c>
    </row>
    <row r="28" spans="1:20" ht="15" customHeight="1" x14ac:dyDescent="0.25">
      <c r="A28" s="183" t="s">
        <v>88</v>
      </c>
      <c r="B28" s="184"/>
      <c r="C28" s="184"/>
      <c r="D28" s="184"/>
      <c r="E28" s="184"/>
      <c r="F28" s="184"/>
      <c r="G28" s="142"/>
      <c r="H28" s="169" t="s">
        <v>20</v>
      </c>
      <c r="I28" s="169"/>
      <c r="J28" s="169"/>
      <c r="K28" s="169"/>
      <c r="L28" s="170"/>
      <c r="M28" s="85"/>
      <c r="N28" s="85"/>
      <c r="O28" s="85"/>
      <c r="P28" s="79"/>
      <c r="Q28" s="79"/>
    </row>
    <row r="29" spans="1:20" x14ac:dyDescent="0.25">
      <c r="A29" s="49" t="s">
        <v>14</v>
      </c>
      <c r="B29" s="50"/>
      <c r="C29" s="63"/>
      <c r="D29" s="63"/>
      <c r="E29" s="63"/>
      <c r="F29" s="63"/>
      <c r="G29" s="143"/>
      <c r="H29" s="171"/>
      <c r="I29" s="171"/>
      <c r="J29" s="171"/>
      <c r="K29" s="171"/>
      <c r="L29" s="172"/>
      <c r="M29" s="85"/>
      <c r="N29" s="85"/>
      <c r="O29" s="85"/>
      <c r="P29" s="79"/>
      <c r="Q29" s="79"/>
    </row>
    <row r="30" spans="1:20" ht="58.15" customHeight="1" thickBot="1" x14ac:dyDescent="0.3">
      <c r="A30" s="177" t="s">
        <v>90</v>
      </c>
      <c r="B30" s="178"/>
      <c r="C30" s="178"/>
      <c r="D30" s="178"/>
      <c r="E30" s="178"/>
      <c r="F30" s="178"/>
      <c r="G30" s="178"/>
      <c r="H30" s="173"/>
      <c r="I30" s="173"/>
      <c r="J30" s="173"/>
      <c r="K30" s="173"/>
      <c r="L30" s="174"/>
      <c r="M30" s="85"/>
      <c r="N30" s="85"/>
      <c r="O30" s="85"/>
      <c r="P30" s="79"/>
      <c r="Q30" s="79"/>
    </row>
    <row r="31" spans="1:20" ht="30" x14ac:dyDescent="0.25">
      <c r="A31" s="21" t="s">
        <v>4</v>
      </c>
      <c r="B31" s="22" t="s">
        <v>5</v>
      </c>
      <c r="C31" s="22" t="s">
        <v>6</v>
      </c>
      <c r="D31" s="22" t="s">
        <v>7</v>
      </c>
      <c r="E31" s="22" t="s">
        <v>8</v>
      </c>
      <c r="F31" s="22" t="s">
        <v>9</v>
      </c>
      <c r="G31" s="22" t="s">
        <v>10</v>
      </c>
      <c r="H31" s="22" t="s">
        <v>11</v>
      </c>
      <c r="I31" s="22" t="s">
        <v>51</v>
      </c>
      <c r="J31" s="125"/>
      <c r="K31" s="9"/>
      <c r="L31" s="12"/>
      <c r="M31" s="85"/>
      <c r="N31" s="85"/>
      <c r="O31" s="85"/>
      <c r="P31" s="79"/>
      <c r="Q31" s="79"/>
    </row>
    <row r="32" spans="1:20" ht="22.5" customHeight="1" x14ac:dyDescent="0.25">
      <c r="A32" s="18">
        <v>2022</v>
      </c>
      <c r="B32" s="48"/>
      <c r="C32" s="48"/>
      <c r="D32" s="96">
        <f>IFERROR(C32/B32,0)</f>
        <v>0</v>
      </c>
      <c r="E32" s="48"/>
      <c r="F32" s="96">
        <f>IFERROR(E32/B32,0)</f>
        <v>0</v>
      </c>
      <c r="G32" s="48"/>
      <c r="H32" s="96">
        <f>IFERROR(G32/B32,0)</f>
        <v>0</v>
      </c>
      <c r="I32" s="96">
        <f>D32+F32+H32</f>
        <v>0</v>
      </c>
      <c r="J32" s="126"/>
      <c r="K32" s="129"/>
      <c r="L32" s="13"/>
      <c r="M32" s="85"/>
      <c r="N32" s="85"/>
      <c r="O32" s="85"/>
      <c r="P32" s="79"/>
      <c r="Q32" s="79"/>
    </row>
    <row r="33" spans="1:19" ht="22.5" customHeight="1" x14ac:dyDescent="0.25">
      <c r="A33" s="18">
        <v>2023</v>
      </c>
      <c r="B33" s="48"/>
      <c r="C33" s="48"/>
      <c r="D33" s="96">
        <f t="shared" ref="D33:D35" si="8">IFERROR(C33/B33,0)</f>
        <v>0</v>
      </c>
      <c r="E33" s="48"/>
      <c r="F33" s="96">
        <f>IFERROR(E33/B33,0)</f>
        <v>0</v>
      </c>
      <c r="G33" s="48"/>
      <c r="H33" s="96">
        <f>IFERROR(G33/B33,0)</f>
        <v>0</v>
      </c>
      <c r="I33" s="96">
        <f t="shared" ref="I33:I35" si="9">D33+F33+H33</f>
        <v>0</v>
      </c>
      <c r="J33" s="126"/>
      <c r="K33" s="129"/>
      <c r="L33" s="13"/>
      <c r="M33" s="85"/>
      <c r="N33" s="85"/>
      <c r="O33" s="85"/>
      <c r="P33" s="79"/>
      <c r="Q33" s="79"/>
    </row>
    <row r="34" spans="1:19" ht="22.5" customHeight="1" x14ac:dyDescent="0.25">
      <c r="A34" s="19">
        <v>2024</v>
      </c>
      <c r="B34" s="48"/>
      <c r="C34" s="48"/>
      <c r="D34" s="96">
        <f t="shared" si="8"/>
        <v>0</v>
      </c>
      <c r="E34" s="48"/>
      <c r="F34" s="96">
        <f>IFERROR(E34/B34,0)</f>
        <v>0</v>
      </c>
      <c r="G34" s="48"/>
      <c r="H34" s="96">
        <f t="shared" ref="H34:H35" si="10">IFERROR(G34/B34,0)</f>
        <v>0</v>
      </c>
      <c r="I34" s="96">
        <f t="shared" si="9"/>
        <v>0</v>
      </c>
      <c r="J34" s="127"/>
      <c r="K34" s="129"/>
      <c r="L34" s="14"/>
      <c r="M34" s="85"/>
      <c r="N34" s="85"/>
      <c r="O34" s="85"/>
      <c r="P34" s="79"/>
      <c r="Q34" s="79"/>
    </row>
    <row r="35" spans="1:19" ht="22.5" customHeight="1" thickBot="1" x14ac:dyDescent="0.3">
      <c r="A35" s="20" t="s">
        <v>81</v>
      </c>
      <c r="B35" s="48"/>
      <c r="C35" s="48"/>
      <c r="D35" s="96">
        <f t="shared" si="8"/>
        <v>0</v>
      </c>
      <c r="E35" s="48"/>
      <c r="F35" s="96">
        <f>IFERROR(E35/B35,0)</f>
        <v>0</v>
      </c>
      <c r="G35" s="48"/>
      <c r="H35" s="97">
        <f t="shared" si="10"/>
        <v>0</v>
      </c>
      <c r="I35" s="97">
        <f t="shared" si="9"/>
        <v>0</v>
      </c>
      <c r="J35" s="128"/>
      <c r="K35" s="130"/>
      <c r="L35" s="15"/>
      <c r="M35" s="85"/>
      <c r="N35" s="85"/>
      <c r="O35" s="85"/>
      <c r="P35" s="79"/>
      <c r="Q35" s="79"/>
    </row>
    <row r="36" spans="1:19" s="6" customFormat="1" ht="15.75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85"/>
      <c r="N36" s="85"/>
      <c r="O36" s="85"/>
      <c r="P36" s="79"/>
      <c r="Q36" s="79"/>
      <c r="R36" s="71"/>
      <c r="S36" s="71"/>
    </row>
    <row r="37" spans="1:19" ht="15.75" customHeight="1" x14ac:dyDescent="0.25">
      <c r="A37" s="175" t="s">
        <v>12</v>
      </c>
      <c r="B37" s="190" t="s">
        <v>13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1"/>
      <c r="M37" s="71"/>
      <c r="N37" s="71"/>
      <c r="O37" s="71"/>
      <c r="P37" s="71"/>
    </row>
    <row r="38" spans="1:19" ht="50.25" customHeight="1" thickBot="1" x14ac:dyDescent="0.3">
      <c r="A38" s="176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3"/>
      <c r="M38" s="71"/>
      <c r="N38" s="71"/>
      <c r="O38" s="71"/>
      <c r="P38" s="71"/>
    </row>
    <row r="39" spans="1:19" s="6" customFormat="1" ht="15.75" thickBot="1" x14ac:dyDescent="0.3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9"/>
      <c r="M39" s="71"/>
      <c r="N39" s="71"/>
      <c r="O39" s="71"/>
      <c r="P39" s="71"/>
      <c r="Q39" s="71"/>
      <c r="R39" s="71"/>
      <c r="S39" s="71"/>
    </row>
    <row r="40" spans="1:19" s="146" customFormat="1" ht="60" customHeight="1" thickBot="1" x14ac:dyDescent="0.3">
      <c r="A40" s="147" t="s">
        <v>109</v>
      </c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8"/>
      <c r="Q40" s="71"/>
      <c r="R40" s="71"/>
      <c r="S40" s="71"/>
    </row>
    <row r="41" spans="1:19" s="71" customFormat="1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9" s="71" customForma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</row>
    <row r="43" spans="1:19" s="71" customFormat="1" x14ac:dyDescent="0.25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9" s="71" customFormat="1" x14ac:dyDescent="0.25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19" s="71" customFormat="1" x14ac:dyDescent="0.25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</row>
    <row r="46" spans="1:19" s="71" customForma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</row>
    <row r="47" spans="1:19" s="71" customFormat="1" x14ac:dyDescent="0.25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</row>
    <row r="48" spans="1:19" s="71" customFormat="1" hidden="1" x14ac:dyDescent="0.2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</row>
    <row r="49" spans="2:16" s="71" customFormat="1" x14ac:dyDescent="0.25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</row>
    <row r="50" spans="2:16" s="71" customFormat="1" x14ac:dyDescent="0.25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</row>
    <row r="51" spans="2:16" s="71" customFormat="1" x14ac:dyDescent="0.25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</row>
    <row r="52" spans="2:16" x14ac:dyDescent="0.25"/>
    <row r="53" spans="2:16" x14ac:dyDescent="0.25"/>
  </sheetData>
  <sheetProtection algorithmName="SHA-512" hashValue="Q8o5SumFL+WA1qzt8ibWFlX/bSHnbhhO815VMKZc/gGy9WRSDol5y7GRV9pJLP/+NQRwTKckHBM5EtYisgLv8Q==" saltValue="AK8Rf2thCWvvggOwggHVzg==" spinCount="100000" sheet="1" objects="1" scenarios="1"/>
  <protectedRanges>
    <protectedRange sqref="A7:A10" name="Bereich1"/>
    <protectedRange sqref="A25" name="Bereich1_1_1_1"/>
  </protectedRanges>
  <mergeCells count="64">
    <mergeCell ref="A1:P1"/>
    <mergeCell ref="B2:P2"/>
    <mergeCell ref="B5:B6"/>
    <mergeCell ref="E5:H5"/>
    <mergeCell ref="O5:O6"/>
    <mergeCell ref="M5:M6"/>
    <mergeCell ref="N5:N6"/>
    <mergeCell ref="B3:P3"/>
    <mergeCell ref="P5:P6"/>
    <mergeCell ref="D5:D6"/>
    <mergeCell ref="K5:L6"/>
    <mergeCell ref="B40:L40"/>
    <mergeCell ref="H28:L30"/>
    <mergeCell ref="A37:A38"/>
    <mergeCell ref="A30:G30"/>
    <mergeCell ref="I5:J6"/>
    <mergeCell ref="I7:J7"/>
    <mergeCell ref="A28:F28"/>
    <mergeCell ref="A5:A6"/>
    <mergeCell ref="A39:L39"/>
    <mergeCell ref="B37:L37"/>
    <mergeCell ref="B38:L38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K16:L16"/>
    <mergeCell ref="K7:L7"/>
    <mergeCell ref="K8:L8"/>
    <mergeCell ref="K9:L9"/>
    <mergeCell ref="K10:L10"/>
    <mergeCell ref="K11:L11"/>
    <mergeCell ref="K27:L27"/>
    <mergeCell ref="B4:P4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</mergeCells>
  <conditionalFormatting sqref="I32:I35">
    <cfRule type="cellIs" dxfId="62" priority="17" operator="greaterThan">
      <formula>1</formula>
    </cfRule>
  </conditionalFormatting>
  <conditionalFormatting sqref="H32:H35">
    <cfRule type="cellIs" dxfId="61" priority="16" operator="greaterThan">
      <formula>1</formula>
    </cfRule>
  </conditionalFormatting>
  <conditionalFormatting sqref="I32:I35">
    <cfRule type="cellIs" dxfId="60" priority="15" operator="greaterThan">
      <formula>1</formula>
    </cfRule>
  </conditionalFormatting>
  <dataValidations count="2">
    <dataValidation type="list" allowBlank="1" showInputMessage="1" showErrorMessage="1" errorTitle="Beschäftigungsgruppe falsch" error="Die Beschäftigungsgruppe muss sich zwischen 1 und 8 befinden" sqref="C7:C22" xr:uid="{00000000-0002-0000-0000-000000000000}">
      <formula1>"1,2,3,4,5,6,7,8"</formula1>
    </dataValidation>
    <dataValidation type="decimal" allowBlank="1" showInputMessage="1" showErrorMessage="1" errorTitle="Falscher Wert!" error="Der angegebene Wert muss zwischen 0,01 und 40,00 Wochenstunden liegen._x000a__x000a_Die wöchentliche Normalarbeitszeit darf 40 Stunden nicht überschreiten. " prompt="Die wöchentliche Normalarbeitszeit darf 40 Stunden nicht überschreiten. " sqref="B7:B22" xr:uid="{00000000-0002-0000-0000-000001000000}">
      <formula1>0.01</formula1>
      <formula2>40</formula2>
    </dataValidation>
  </dataValidations>
  <hyperlinks>
    <hyperlink ref="A29:B29" r:id="rId1" display="Gehaltsschema für Kulturvereine der IG Kultur" xr:uid="{00000000-0004-0000-0000-000002000000}"/>
    <hyperlink ref="A29" r:id="rId2" xr:uid="{00000000-0004-0000-0000-000003000000}"/>
  </hyperlinks>
  <pageMargins left="0.70866141732283472" right="0.70866141732283472" top="0.78740157480314965" bottom="1.8897637795275593" header="0.31496062992125984" footer="0.31496062992125984"/>
  <pageSetup paperSize="9" scale="49" fitToHeight="2" orientation="landscape" r:id="rId3"/>
  <headerFooter>
    <oddHeader>&amp;CDatenblatt "Gerechte Entlohnung 2025" Abteilung 9 Land Steiermark
Personalkosten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D55030D4-C777-4268-8CFA-5D5A7EB4D3DE}">
            <xm:f>NOT(ISERROR(SEARCH("-",H7)))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H7:I8 H9:H22</xm:sqref>
        </x14:conditionalFormatting>
        <x14:conditionalFormatting xmlns:xm="http://schemas.microsoft.com/office/excel/2006/main">
          <x14:cfRule type="containsText" priority="14" operator="containsText" id="{E053B3F5-3A00-4AE3-8E3B-D33AB8A4EDE7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13" operator="containsText" id="{254F78B6-4F02-442E-A6CD-08D30919EA70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12" operator="containsText" id="{48B44506-04E1-4A6D-90F3-1ED20727A7FB}">
            <xm:f>NOT(ISERROR(SEARCH("-",I11)))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11" operator="containsText" id="{B17E5F05-A41C-4D20-A3B7-47BFCEE40B7E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0" operator="containsText" id="{0AD53708-7250-4069-A862-C6E31C0C4316}">
            <xm:f>NOT(ISERROR(SEARCH("-",I13)))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9" operator="containsText" id="{1D1F79AA-2341-4DF8-86C3-E01A40C2C9A2}">
            <xm:f>NOT(ISERROR(SEARCH("-",I14)))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8" operator="containsText" id="{3CD02458-6E2F-4CBD-8C1A-7DC5F7641BBD}">
            <xm:f>NOT(ISERROR(SEARCH("-",I15)))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7" operator="containsText" id="{C624AA49-D613-49F0-9DE5-3953C1879008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6" operator="containsText" id="{299028FC-3339-49C1-9620-9805906E5AF2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5" operator="containsText" id="{C009445B-B683-4245-A1B3-1556F0AB9A3F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4" operator="containsText" id="{77227440-4535-48D5-BF8B-08984076AE6D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3" operator="containsText" id="{CC9D19FB-5585-46DD-B10A-AA65E5F1180F}">
            <xm:f>NOT(ISERROR(SEARCH("-",I20)))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containsText" priority="2" operator="containsText" id="{773035BE-D360-4DCC-8976-22920E8B22B5}">
            <xm:f>NOT(ISERROR(SEARCH("-",I21)))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ontainsText" priority="1" operator="containsText" id="{FDD37EA7-53A9-4CFF-99E5-E41351574926}">
            <xm:f>NOT(ISERROR(SEARCH("-",I22)))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2000000}">
          <x14:formula1>
            <xm:f>'Gehaltsschema Personalkosten'!$C$4:$L$4</xm:f>
          </x14:formula1>
          <xm:sqref>D7:D22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S63"/>
  <sheetViews>
    <sheetView showGridLines="0" topLeftCell="A13" zoomScale="85" zoomScaleNormal="85" zoomScalePageLayoutView="75" workbookViewId="0">
      <selection activeCell="A40" sqref="A40"/>
    </sheetView>
  </sheetViews>
  <sheetFormatPr baseColWidth="10" defaultColWidth="0" defaultRowHeight="15" zeroHeight="1" x14ac:dyDescent="0.25"/>
  <cols>
    <col min="1" max="1" width="61.7109375" style="71" customWidth="1"/>
    <col min="2" max="5" width="18.28515625" style="80" customWidth="1"/>
    <col min="6" max="6" width="20.85546875" style="80" customWidth="1"/>
    <col min="7" max="9" width="18.28515625" style="80" customWidth="1"/>
    <col min="10" max="10" width="7.7109375" style="80" customWidth="1"/>
    <col min="11" max="14" width="15.7109375" style="71" hidden="1" customWidth="1"/>
    <col min="15" max="17" width="11.5703125" style="71" customWidth="1"/>
    <col min="18" max="19" width="11.5703125" style="71" hidden="1" customWidth="1"/>
    <col min="20" max="16384" width="11.5703125" style="71" hidden="1"/>
  </cols>
  <sheetData>
    <row r="1" spans="1:19" s="1" customFormat="1" ht="70.5" customHeight="1" thickBot="1" x14ac:dyDescent="0.3">
      <c r="A1" s="194" t="s">
        <v>110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  <c r="O1" s="70"/>
      <c r="P1" s="71"/>
      <c r="Q1" s="71"/>
      <c r="R1" s="71"/>
      <c r="S1" s="71"/>
    </row>
    <row r="2" spans="1:19" s="1" customFormat="1" ht="28.9" customHeight="1" x14ac:dyDescent="0.25">
      <c r="A2" s="1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  <c r="O2" s="72"/>
      <c r="P2" s="73"/>
      <c r="Q2" s="71"/>
      <c r="R2" s="71"/>
      <c r="S2" s="71"/>
    </row>
    <row r="3" spans="1:19" s="1" customFormat="1" ht="28.9" customHeight="1" thickBot="1" x14ac:dyDescent="0.3">
      <c r="A3" s="69" t="s">
        <v>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8"/>
      <c r="O3" s="74"/>
      <c r="P3" s="75"/>
      <c r="Q3" s="71"/>
      <c r="R3" s="71"/>
      <c r="S3" s="71"/>
    </row>
    <row r="4" spans="1:19" s="1" customFormat="1" ht="31.5" customHeight="1" thickBot="1" x14ac:dyDescent="0.3">
      <c r="A4" s="2"/>
      <c r="B4" s="154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/>
      <c r="O4" s="70"/>
      <c r="P4" s="71"/>
      <c r="Q4" s="71"/>
      <c r="R4" s="71"/>
      <c r="S4" s="71"/>
    </row>
    <row r="5" spans="1:19" s="1" customFormat="1" ht="15" customHeight="1" x14ac:dyDescent="0.25">
      <c r="A5" s="185" t="s">
        <v>49</v>
      </c>
      <c r="B5" s="199" t="s">
        <v>19</v>
      </c>
      <c r="C5" s="199" t="s">
        <v>17</v>
      </c>
      <c r="D5" s="201" t="s">
        <v>15</v>
      </c>
      <c r="E5" s="202"/>
      <c r="F5" s="214"/>
      <c r="G5" s="179" t="s">
        <v>99</v>
      </c>
      <c r="H5" s="215"/>
      <c r="I5" s="179" t="s">
        <v>25</v>
      </c>
      <c r="J5" s="211"/>
      <c r="K5" s="205" t="s">
        <v>23</v>
      </c>
      <c r="L5" s="203" t="s">
        <v>24</v>
      </c>
      <c r="M5" s="203" t="s">
        <v>22</v>
      </c>
      <c r="N5" s="209" t="s">
        <v>21</v>
      </c>
      <c r="O5" s="71"/>
      <c r="P5" s="71"/>
      <c r="Q5" s="71"/>
      <c r="R5" s="71"/>
      <c r="S5" s="71"/>
    </row>
    <row r="6" spans="1:19" s="1" customFormat="1" ht="75" customHeight="1" x14ac:dyDescent="0.25">
      <c r="A6" s="186"/>
      <c r="B6" s="200"/>
      <c r="C6" s="200"/>
      <c r="D6" s="17" t="s">
        <v>104</v>
      </c>
      <c r="E6" s="17" t="s">
        <v>103</v>
      </c>
      <c r="F6" s="36" t="s">
        <v>108</v>
      </c>
      <c r="G6" s="216"/>
      <c r="H6" s="217"/>
      <c r="I6" s="181"/>
      <c r="J6" s="212"/>
      <c r="K6" s="206"/>
      <c r="L6" s="204"/>
      <c r="M6" s="204"/>
      <c r="N6" s="210"/>
      <c r="O6" s="71"/>
      <c r="P6" s="71"/>
      <c r="Q6" s="71"/>
      <c r="R6" s="71"/>
      <c r="S6" s="71"/>
    </row>
    <row r="7" spans="1:19" s="1" customFormat="1" ht="22.7" customHeight="1" x14ac:dyDescent="0.25">
      <c r="A7" s="84"/>
      <c r="B7" s="26"/>
      <c r="C7" s="25"/>
      <c r="D7" s="30"/>
      <c r="E7" s="91">
        <f>IFERROR(IF(C7=1,31.54*B7,IF(C7=4,48.16*B7,IF(C7=5,53.63*B7,IF(C7=6,60.66*B7,IF(C7=7,73.13*B7,IF(C7=8,82.1*B7,0)))))),0)</f>
        <v>0</v>
      </c>
      <c r="F7" s="92">
        <f>D7-E7</f>
        <v>0</v>
      </c>
      <c r="G7" s="164">
        <f>F7*0.243</f>
        <v>0</v>
      </c>
      <c r="H7" s="165"/>
      <c r="I7" s="157">
        <f>IFERROR((D7-E7)/D7,0)</f>
        <v>0</v>
      </c>
      <c r="J7" s="158"/>
      <c r="K7" s="33">
        <v>30</v>
      </c>
      <c r="L7" s="93">
        <f t="shared" ref="L7:L22" si="0">IFERROR(K7/G7,0)</f>
        <v>0</v>
      </c>
      <c r="M7" s="33">
        <v>50</v>
      </c>
      <c r="N7" s="94">
        <f t="shared" ref="N7:N22" si="1">IFERROR(M7/H7,0)</f>
        <v>0</v>
      </c>
      <c r="O7" s="71"/>
      <c r="P7" s="71"/>
      <c r="Q7" s="71"/>
      <c r="R7" s="71"/>
      <c r="S7" s="71"/>
    </row>
    <row r="8" spans="1:19" s="1" customFormat="1" ht="22.7" customHeight="1" x14ac:dyDescent="0.25">
      <c r="A8" s="84"/>
      <c r="B8" s="26"/>
      <c r="C8" s="25"/>
      <c r="D8" s="30"/>
      <c r="E8" s="91">
        <f t="shared" ref="E8:E22" si="2">IFERROR(IF(C8=1,31.54*B8,IF(C8=4,48.16*B8,IF(C8=5,53.63*B8,IF(C8=6,60.66*B8,IF(C8=7,73.13*B8,IF(C8=8,82.1*B8,0)))))),0)</f>
        <v>0</v>
      </c>
      <c r="F8" s="92">
        <f>D8-E8</f>
        <v>0</v>
      </c>
      <c r="G8" s="164">
        <f t="shared" ref="G8:G22" si="3">F8*0.243</f>
        <v>0</v>
      </c>
      <c r="H8" s="165"/>
      <c r="I8" s="157">
        <f t="shared" ref="I8:I22" si="4">IFERROR((D8-E8)/D8,0)</f>
        <v>0</v>
      </c>
      <c r="J8" s="158"/>
      <c r="K8" s="33">
        <v>0</v>
      </c>
      <c r="L8" s="93">
        <f t="shared" si="0"/>
        <v>0</v>
      </c>
      <c r="M8" s="33">
        <v>0</v>
      </c>
      <c r="N8" s="94">
        <f t="shared" si="1"/>
        <v>0</v>
      </c>
      <c r="O8" s="71"/>
      <c r="P8" s="71"/>
      <c r="Q8" s="71"/>
      <c r="R8" s="71"/>
      <c r="S8" s="71"/>
    </row>
    <row r="9" spans="1:19" s="1" customFormat="1" ht="22.7" customHeight="1" x14ac:dyDescent="0.25">
      <c r="A9" s="84"/>
      <c r="B9" s="26"/>
      <c r="C9" s="25"/>
      <c r="D9" s="30"/>
      <c r="E9" s="91">
        <f t="shared" si="2"/>
        <v>0</v>
      </c>
      <c r="F9" s="92">
        <f t="shared" ref="F9:F22" si="5">D9-E9</f>
        <v>0</v>
      </c>
      <c r="G9" s="164">
        <f t="shared" si="3"/>
        <v>0</v>
      </c>
      <c r="H9" s="165"/>
      <c r="I9" s="157">
        <f t="shared" si="4"/>
        <v>0</v>
      </c>
      <c r="J9" s="158"/>
      <c r="K9" s="33"/>
      <c r="L9" s="93">
        <f t="shared" si="0"/>
        <v>0</v>
      </c>
      <c r="M9" s="33"/>
      <c r="N9" s="94">
        <f t="shared" si="1"/>
        <v>0</v>
      </c>
      <c r="O9" s="71"/>
      <c r="P9" s="71"/>
      <c r="Q9" s="71"/>
      <c r="R9" s="71"/>
      <c r="S9" s="71"/>
    </row>
    <row r="10" spans="1:19" s="1" customFormat="1" ht="22.7" customHeight="1" x14ac:dyDescent="0.25">
      <c r="A10" s="84"/>
      <c r="B10" s="26"/>
      <c r="C10" s="25"/>
      <c r="D10" s="30"/>
      <c r="E10" s="91">
        <f t="shared" si="2"/>
        <v>0</v>
      </c>
      <c r="F10" s="92">
        <f t="shared" si="5"/>
        <v>0</v>
      </c>
      <c r="G10" s="164">
        <f t="shared" si="3"/>
        <v>0</v>
      </c>
      <c r="H10" s="165"/>
      <c r="I10" s="157">
        <f t="shared" si="4"/>
        <v>0</v>
      </c>
      <c r="J10" s="158"/>
      <c r="K10" s="33"/>
      <c r="L10" s="93">
        <f t="shared" si="0"/>
        <v>0</v>
      </c>
      <c r="M10" s="33"/>
      <c r="N10" s="94">
        <f t="shared" si="1"/>
        <v>0</v>
      </c>
      <c r="O10" s="71"/>
      <c r="P10" s="71"/>
      <c r="Q10" s="71"/>
      <c r="R10" s="71"/>
      <c r="S10" s="71"/>
    </row>
    <row r="11" spans="1:19" s="1" customFormat="1" ht="22.7" customHeight="1" x14ac:dyDescent="0.25">
      <c r="A11" s="84"/>
      <c r="B11" s="26"/>
      <c r="C11" s="25"/>
      <c r="D11" s="30"/>
      <c r="E11" s="91">
        <f t="shared" si="2"/>
        <v>0</v>
      </c>
      <c r="F11" s="92">
        <f t="shared" si="5"/>
        <v>0</v>
      </c>
      <c r="G11" s="164">
        <f t="shared" si="3"/>
        <v>0</v>
      </c>
      <c r="H11" s="165"/>
      <c r="I11" s="157">
        <f t="shared" si="4"/>
        <v>0</v>
      </c>
      <c r="J11" s="158"/>
      <c r="K11" s="33"/>
      <c r="L11" s="93">
        <f t="shared" si="0"/>
        <v>0</v>
      </c>
      <c r="M11" s="33"/>
      <c r="N11" s="94">
        <f t="shared" si="1"/>
        <v>0</v>
      </c>
      <c r="O11" s="71"/>
      <c r="P11" s="71"/>
      <c r="Q11" s="71"/>
      <c r="R11" s="71"/>
      <c r="S11" s="71"/>
    </row>
    <row r="12" spans="1:19" s="1" customFormat="1" ht="22.7" customHeight="1" x14ac:dyDescent="0.25">
      <c r="A12" s="84"/>
      <c r="B12" s="26"/>
      <c r="C12" s="25"/>
      <c r="D12" s="30"/>
      <c r="E12" s="91">
        <f t="shared" si="2"/>
        <v>0</v>
      </c>
      <c r="F12" s="92">
        <f t="shared" si="5"/>
        <v>0</v>
      </c>
      <c r="G12" s="164">
        <f t="shared" si="3"/>
        <v>0</v>
      </c>
      <c r="H12" s="165"/>
      <c r="I12" s="157">
        <f t="shared" si="4"/>
        <v>0</v>
      </c>
      <c r="J12" s="158"/>
      <c r="K12" s="33"/>
      <c r="L12" s="93">
        <f t="shared" si="0"/>
        <v>0</v>
      </c>
      <c r="M12" s="33"/>
      <c r="N12" s="94">
        <f t="shared" si="1"/>
        <v>0</v>
      </c>
      <c r="O12" s="71"/>
      <c r="P12" s="71"/>
      <c r="Q12" s="71"/>
      <c r="R12" s="71"/>
      <c r="S12" s="71"/>
    </row>
    <row r="13" spans="1:19" s="1" customFormat="1" ht="22.7" customHeight="1" x14ac:dyDescent="0.25">
      <c r="A13" s="84"/>
      <c r="B13" s="26"/>
      <c r="C13" s="25"/>
      <c r="D13" s="30"/>
      <c r="E13" s="91">
        <f t="shared" si="2"/>
        <v>0</v>
      </c>
      <c r="F13" s="92">
        <f t="shared" si="5"/>
        <v>0</v>
      </c>
      <c r="G13" s="164">
        <f t="shared" si="3"/>
        <v>0</v>
      </c>
      <c r="H13" s="165"/>
      <c r="I13" s="157">
        <f t="shared" si="4"/>
        <v>0</v>
      </c>
      <c r="J13" s="158"/>
      <c r="K13" s="33"/>
      <c r="L13" s="93">
        <f t="shared" si="0"/>
        <v>0</v>
      </c>
      <c r="M13" s="33"/>
      <c r="N13" s="94">
        <f t="shared" si="1"/>
        <v>0</v>
      </c>
      <c r="O13" s="71"/>
      <c r="P13" s="71"/>
      <c r="Q13" s="71"/>
      <c r="R13" s="71"/>
      <c r="S13" s="71"/>
    </row>
    <row r="14" spans="1:19" s="1" customFormat="1" ht="22.7" customHeight="1" x14ac:dyDescent="0.25">
      <c r="A14" s="84"/>
      <c r="B14" s="26"/>
      <c r="C14" s="25"/>
      <c r="D14" s="30"/>
      <c r="E14" s="91">
        <f t="shared" si="2"/>
        <v>0</v>
      </c>
      <c r="F14" s="92">
        <f t="shared" si="5"/>
        <v>0</v>
      </c>
      <c r="G14" s="164">
        <f t="shared" si="3"/>
        <v>0</v>
      </c>
      <c r="H14" s="165"/>
      <c r="I14" s="157">
        <f t="shared" si="4"/>
        <v>0</v>
      </c>
      <c r="J14" s="158"/>
      <c r="K14" s="33"/>
      <c r="L14" s="93">
        <f t="shared" si="0"/>
        <v>0</v>
      </c>
      <c r="M14" s="33"/>
      <c r="N14" s="94">
        <f t="shared" si="1"/>
        <v>0</v>
      </c>
      <c r="O14" s="71"/>
      <c r="P14" s="71"/>
      <c r="Q14" s="71"/>
      <c r="R14" s="71"/>
      <c r="S14" s="71"/>
    </row>
    <row r="15" spans="1:19" s="1" customFormat="1" ht="22.7" customHeight="1" x14ac:dyDescent="0.25">
      <c r="A15" s="84"/>
      <c r="B15" s="26"/>
      <c r="C15" s="25"/>
      <c r="D15" s="30"/>
      <c r="E15" s="91">
        <f t="shared" si="2"/>
        <v>0</v>
      </c>
      <c r="F15" s="92">
        <f t="shared" si="5"/>
        <v>0</v>
      </c>
      <c r="G15" s="164">
        <f t="shared" si="3"/>
        <v>0</v>
      </c>
      <c r="H15" s="165"/>
      <c r="I15" s="157">
        <f t="shared" si="4"/>
        <v>0</v>
      </c>
      <c r="J15" s="158"/>
      <c r="K15" s="33"/>
      <c r="L15" s="93">
        <f t="shared" si="0"/>
        <v>0</v>
      </c>
      <c r="M15" s="33"/>
      <c r="N15" s="94">
        <f t="shared" si="1"/>
        <v>0</v>
      </c>
      <c r="O15" s="71"/>
      <c r="P15" s="71"/>
      <c r="Q15" s="71"/>
      <c r="R15" s="71"/>
      <c r="S15" s="71"/>
    </row>
    <row r="16" spans="1:19" s="1" customFormat="1" ht="22.7" customHeight="1" x14ac:dyDescent="0.25">
      <c r="A16" s="84"/>
      <c r="B16" s="26"/>
      <c r="C16" s="25"/>
      <c r="D16" s="30"/>
      <c r="E16" s="91">
        <f t="shared" si="2"/>
        <v>0</v>
      </c>
      <c r="F16" s="92">
        <f t="shared" si="5"/>
        <v>0</v>
      </c>
      <c r="G16" s="164">
        <f t="shared" si="3"/>
        <v>0</v>
      </c>
      <c r="H16" s="165"/>
      <c r="I16" s="157">
        <f t="shared" si="4"/>
        <v>0</v>
      </c>
      <c r="J16" s="158"/>
      <c r="K16" s="33"/>
      <c r="L16" s="93">
        <f t="shared" si="0"/>
        <v>0</v>
      </c>
      <c r="M16" s="33"/>
      <c r="N16" s="94">
        <f t="shared" si="1"/>
        <v>0</v>
      </c>
      <c r="O16" s="71"/>
      <c r="P16" s="71"/>
      <c r="Q16" s="71"/>
      <c r="R16" s="71"/>
      <c r="S16" s="71"/>
    </row>
    <row r="17" spans="1:19" s="1" customFormat="1" ht="22.7" customHeight="1" x14ac:dyDescent="0.25">
      <c r="A17" s="84"/>
      <c r="B17" s="26"/>
      <c r="C17" s="25"/>
      <c r="D17" s="30"/>
      <c r="E17" s="91">
        <f t="shared" si="2"/>
        <v>0</v>
      </c>
      <c r="F17" s="92">
        <f t="shared" si="5"/>
        <v>0</v>
      </c>
      <c r="G17" s="164">
        <f t="shared" si="3"/>
        <v>0</v>
      </c>
      <c r="H17" s="165"/>
      <c r="I17" s="157">
        <f t="shared" si="4"/>
        <v>0</v>
      </c>
      <c r="J17" s="158"/>
      <c r="K17" s="33"/>
      <c r="L17" s="93">
        <f t="shared" si="0"/>
        <v>0</v>
      </c>
      <c r="M17" s="33"/>
      <c r="N17" s="94">
        <f t="shared" si="1"/>
        <v>0</v>
      </c>
      <c r="O17" s="71"/>
      <c r="P17" s="71"/>
      <c r="Q17" s="71"/>
      <c r="R17" s="71"/>
      <c r="S17" s="71"/>
    </row>
    <row r="18" spans="1:19" s="1" customFormat="1" ht="22.7" customHeight="1" x14ac:dyDescent="0.25">
      <c r="A18" s="84"/>
      <c r="B18" s="26"/>
      <c r="C18" s="25"/>
      <c r="D18" s="30"/>
      <c r="E18" s="91">
        <f t="shared" si="2"/>
        <v>0</v>
      </c>
      <c r="F18" s="92">
        <f t="shared" si="5"/>
        <v>0</v>
      </c>
      <c r="G18" s="164">
        <f t="shared" si="3"/>
        <v>0</v>
      </c>
      <c r="H18" s="165"/>
      <c r="I18" s="157">
        <f t="shared" si="4"/>
        <v>0</v>
      </c>
      <c r="J18" s="158"/>
      <c r="K18" s="33"/>
      <c r="L18" s="93">
        <f t="shared" si="0"/>
        <v>0</v>
      </c>
      <c r="M18" s="33"/>
      <c r="N18" s="94">
        <f t="shared" si="1"/>
        <v>0</v>
      </c>
      <c r="O18" s="71"/>
      <c r="P18" s="71"/>
      <c r="Q18" s="71"/>
      <c r="R18" s="71"/>
      <c r="S18" s="71"/>
    </row>
    <row r="19" spans="1:19" s="1" customFormat="1" ht="22.7" customHeight="1" x14ac:dyDescent="0.25">
      <c r="A19" s="84"/>
      <c r="B19" s="26"/>
      <c r="C19" s="25"/>
      <c r="D19" s="30"/>
      <c r="E19" s="91">
        <f t="shared" si="2"/>
        <v>0</v>
      </c>
      <c r="F19" s="92">
        <f t="shared" si="5"/>
        <v>0</v>
      </c>
      <c r="G19" s="164">
        <f t="shared" si="3"/>
        <v>0</v>
      </c>
      <c r="H19" s="165"/>
      <c r="I19" s="157">
        <f t="shared" si="4"/>
        <v>0</v>
      </c>
      <c r="J19" s="158"/>
      <c r="K19" s="33"/>
      <c r="L19" s="93">
        <f t="shared" si="0"/>
        <v>0</v>
      </c>
      <c r="M19" s="33"/>
      <c r="N19" s="94">
        <f t="shared" si="1"/>
        <v>0</v>
      </c>
      <c r="O19" s="71"/>
      <c r="P19" s="71"/>
      <c r="Q19" s="71"/>
      <c r="R19" s="71"/>
      <c r="S19" s="71"/>
    </row>
    <row r="20" spans="1:19" s="1" customFormat="1" ht="22.7" customHeight="1" x14ac:dyDescent="0.25">
      <c r="A20" s="84"/>
      <c r="B20" s="26"/>
      <c r="C20" s="25"/>
      <c r="D20" s="30"/>
      <c r="E20" s="91">
        <f t="shared" si="2"/>
        <v>0</v>
      </c>
      <c r="F20" s="92">
        <f t="shared" si="5"/>
        <v>0</v>
      </c>
      <c r="G20" s="164">
        <f t="shared" si="3"/>
        <v>0</v>
      </c>
      <c r="H20" s="165"/>
      <c r="I20" s="157">
        <f t="shared" si="4"/>
        <v>0</v>
      </c>
      <c r="J20" s="158"/>
      <c r="K20" s="33"/>
      <c r="L20" s="93">
        <f t="shared" si="0"/>
        <v>0</v>
      </c>
      <c r="M20" s="33"/>
      <c r="N20" s="94">
        <f t="shared" si="1"/>
        <v>0</v>
      </c>
      <c r="O20" s="71"/>
      <c r="P20" s="71"/>
      <c r="Q20" s="71"/>
      <c r="R20" s="71"/>
      <c r="S20" s="71"/>
    </row>
    <row r="21" spans="1:19" s="1" customFormat="1" ht="22.7" customHeight="1" x14ac:dyDescent="0.25">
      <c r="A21" s="84"/>
      <c r="B21" s="26"/>
      <c r="C21" s="25"/>
      <c r="D21" s="30"/>
      <c r="E21" s="91">
        <f t="shared" si="2"/>
        <v>0</v>
      </c>
      <c r="F21" s="92">
        <f t="shared" si="5"/>
        <v>0</v>
      </c>
      <c r="G21" s="164">
        <f t="shared" si="3"/>
        <v>0</v>
      </c>
      <c r="H21" s="165"/>
      <c r="I21" s="157">
        <f t="shared" si="4"/>
        <v>0</v>
      </c>
      <c r="J21" s="158"/>
      <c r="K21" s="33"/>
      <c r="L21" s="93">
        <f t="shared" si="0"/>
        <v>0</v>
      </c>
      <c r="M21" s="33"/>
      <c r="N21" s="94">
        <f t="shared" si="1"/>
        <v>0</v>
      </c>
      <c r="O21" s="71"/>
      <c r="P21" s="71"/>
      <c r="Q21" s="71"/>
      <c r="R21" s="71"/>
      <c r="S21" s="71"/>
    </row>
    <row r="22" spans="1:19" s="1" customFormat="1" ht="22.7" customHeight="1" x14ac:dyDescent="0.25">
      <c r="A22" s="84"/>
      <c r="B22" s="26"/>
      <c r="C22" s="25"/>
      <c r="D22" s="30"/>
      <c r="E22" s="91">
        <f t="shared" si="2"/>
        <v>0</v>
      </c>
      <c r="F22" s="92">
        <f t="shared" si="5"/>
        <v>0</v>
      </c>
      <c r="G22" s="164">
        <f t="shared" si="3"/>
        <v>0</v>
      </c>
      <c r="H22" s="165"/>
      <c r="I22" s="157">
        <f t="shared" si="4"/>
        <v>0</v>
      </c>
      <c r="J22" s="158"/>
      <c r="K22" s="33"/>
      <c r="L22" s="93">
        <f t="shared" si="0"/>
        <v>0</v>
      </c>
      <c r="M22" s="33"/>
      <c r="N22" s="94">
        <f t="shared" si="1"/>
        <v>0</v>
      </c>
      <c r="O22" s="71"/>
      <c r="P22" s="71"/>
      <c r="Q22" s="71"/>
      <c r="R22" s="71"/>
      <c r="S22" s="71"/>
    </row>
    <row r="23" spans="1:19" s="1" customFormat="1" x14ac:dyDescent="0.25">
      <c r="A23" s="66" t="s">
        <v>82</v>
      </c>
      <c r="B23" s="64"/>
      <c r="C23" s="38"/>
      <c r="D23" s="39"/>
      <c r="E23" s="39"/>
      <c r="F23" s="39"/>
      <c r="G23" s="159"/>
      <c r="H23" s="213"/>
      <c r="I23" s="159"/>
      <c r="J23" s="160"/>
      <c r="K23" s="40"/>
      <c r="L23" s="41"/>
      <c r="M23" s="39"/>
      <c r="N23" s="42"/>
      <c r="O23" s="71"/>
      <c r="P23" s="71"/>
      <c r="Q23" s="71"/>
      <c r="R23" s="71"/>
      <c r="S23" s="71"/>
    </row>
    <row r="24" spans="1:19" s="1" customFormat="1" x14ac:dyDescent="0.25">
      <c r="A24" s="66" t="s">
        <v>85</v>
      </c>
      <c r="B24" s="99"/>
      <c r="C24" s="38"/>
      <c r="D24" s="39"/>
      <c r="E24" s="39"/>
      <c r="F24" s="39"/>
      <c r="G24" s="159"/>
      <c r="H24" s="213"/>
      <c r="I24" s="159"/>
      <c r="J24" s="160"/>
      <c r="K24" s="40"/>
      <c r="L24" s="41"/>
      <c r="M24" s="39"/>
      <c r="N24" s="42"/>
      <c r="O24" s="71"/>
      <c r="P24" s="71"/>
      <c r="Q24" s="71"/>
      <c r="R24" s="71"/>
      <c r="S24" s="71"/>
    </row>
    <row r="25" spans="1:19" s="1" customFormat="1" x14ac:dyDescent="0.25">
      <c r="A25" s="66" t="s">
        <v>83</v>
      </c>
      <c r="B25" s="64"/>
      <c r="C25" s="38"/>
      <c r="D25" s="39"/>
      <c r="E25" s="39"/>
      <c r="F25" s="39"/>
      <c r="G25" s="159"/>
      <c r="H25" s="213"/>
      <c r="I25" s="159"/>
      <c r="J25" s="160"/>
      <c r="K25" s="40"/>
      <c r="L25" s="41"/>
      <c r="M25" s="39"/>
      <c r="N25" s="42"/>
      <c r="O25" s="71"/>
      <c r="P25" s="71"/>
      <c r="Q25" s="71"/>
      <c r="R25" s="71"/>
      <c r="S25" s="71"/>
    </row>
    <row r="26" spans="1:19" s="1" customFormat="1" x14ac:dyDescent="0.25">
      <c r="A26" s="66" t="s">
        <v>84</v>
      </c>
      <c r="B26" s="68"/>
      <c r="C26" s="43"/>
      <c r="D26" s="44"/>
      <c r="E26" s="44"/>
      <c r="F26" s="44"/>
      <c r="G26" s="159"/>
      <c r="H26" s="213"/>
      <c r="I26" s="159"/>
      <c r="J26" s="160"/>
      <c r="K26" s="40"/>
      <c r="L26" s="41"/>
      <c r="M26" s="39"/>
      <c r="N26" s="42"/>
      <c r="O26" s="71"/>
      <c r="P26" s="71"/>
      <c r="Q26" s="71"/>
      <c r="R26" s="71"/>
      <c r="S26" s="71"/>
    </row>
    <row r="27" spans="1:19" s="1" customFormat="1" ht="15.75" thickBot="1" x14ac:dyDescent="0.3">
      <c r="A27" s="67" t="s">
        <v>3</v>
      </c>
      <c r="B27" s="65">
        <f>SUM(B7:B22)</f>
        <v>0</v>
      </c>
      <c r="C27" s="37" t="s">
        <v>36</v>
      </c>
      <c r="D27" s="32">
        <f>SUM(D7:D22)</f>
        <v>0</v>
      </c>
      <c r="E27" s="32">
        <f>SUM(E7:E22)</f>
        <v>0</v>
      </c>
      <c r="F27" s="31">
        <f>SUMIF(F7:F22,"&lt;0",F7:F22)</f>
        <v>0</v>
      </c>
      <c r="G27" s="152">
        <f t="shared" ref="G27" si="6">SUMIF(G7:G22,"&lt;0",G7:G22)</f>
        <v>0</v>
      </c>
      <c r="H27" s="163"/>
      <c r="I27" s="152" t="s">
        <v>36</v>
      </c>
      <c r="J27" s="153"/>
      <c r="K27" s="51">
        <f t="shared" ref="K27:N27" si="7">SUM(K7:K22)</f>
        <v>30</v>
      </c>
      <c r="L27" s="45">
        <f t="shared" si="7"/>
        <v>0</v>
      </c>
      <c r="M27" s="46">
        <f t="shared" si="7"/>
        <v>50</v>
      </c>
      <c r="N27" s="47">
        <f t="shared" si="7"/>
        <v>0</v>
      </c>
      <c r="O27" s="71"/>
      <c r="P27" s="71"/>
      <c r="Q27" s="71"/>
      <c r="R27" s="71"/>
      <c r="S27" s="71"/>
    </row>
    <row r="28" spans="1:19" s="1" customFormat="1" ht="15" customHeight="1" x14ac:dyDescent="0.25">
      <c r="A28" s="222" t="s">
        <v>89</v>
      </c>
      <c r="B28" s="223"/>
      <c r="C28" s="223"/>
      <c r="D28" s="86"/>
      <c r="E28" s="86"/>
      <c r="F28" s="169" t="s">
        <v>20</v>
      </c>
      <c r="G28" s="169"/>
      <c r="H28" s="169"/>
      <c r="I28" s="169"/>
      <c r="J28" s="170"/>
      <c r="K28" s="71"/>
      <c r="L28" s="71"/>
      <c r="M28" s="71"/>
      <c r="N28" s="71"/>
      <c r="O28" s="71"/>
      <c r="P28" s="71"/>
      <c r="Q28" s="71"/>
      <c r="R28" s="71"/>
      <c r="S28" s="71"/>
    </row>
    <row r="29" spans="1:19" s="1" customFormat="1" ht="15" customHeight="1" x14ac:dyDescent="0.25">
      <c r="A29" s="90" t="s">
        <v>16</v>
      </c>
      <c r="B29" s="34"/>
      <c r="C29" s="34"/>
      <c r="D29" s="88"/>
      <c r="E29" s="88"/>
      <c r="F29" s="171"/>
      <c r="G29" s="171"/>
      <c r="H29" s="171"/>
      <c r="I29" s="171"/>
      <c r="J29" s="172"/>
      <c r="K29" s="71"/>
      <c r="L29" s="71"/>
      <c r="M29" s="71"/>
      <c r="N29" s="71"/>
      <c r="O29" s="71"/>
      <c r="P29" s="71"/>
      <c r="Q29" s="71"/>
      <c r="R29" s="71"/>
      <c r="S29" s="71"/>
    </row>
    <row r="30" spans="1:19" s="1" customFormat="1" ht="57.6" customHeight="1" thickBot="1" x14ac:dyDescent="0.3">
      <c r="A30" s="225" t="s">
        <v>91</v>
      </c>
      <c r="B30" s="226"/>
      <c r="C30" s="226"/>
      <c r="D30" s="226"/>
      <c r="E30" s="226"/>
      <c r="F30" s="173"/>
      <c r="G30" s="173"/>
      <c r="H30" s="173"/>
      <c r="I30" s="173"/>
      <c r="J30" s="174"/>
      <c r="K30" s="71"/>
      <c r="L30" s="71"/>
      <c r="M30" s="71"/>
      <c r="N30" s="71"/>
      <c r="O30" s="71"/>
      <c r="P30" s="71"/>
      <c r="Q30" s="71"/>
      <c r="R30" s="71"/>
      <c r="S30" s="71"/>
    </row>
    <row r="31" spans="1:19" s="1" customFormat="1" ht="30" x14ac:dyDescent="0.25">
      <c r="A31" s="21" t="s">
        <v>4</v>
      </c>
      <c r="B31" s="22" t="s">
        <v>5</v>
      </c>
      <c r="C31" s="22" t="s">
        <v>6</v>
      </c>
      <c r="D31" s="22" t="s">
        <v>7</v>
      </c>
      <c r="E31" s="22" t="s">
        <v>8</v>
      </c>
      <c r="F31" s="22" t="s">
        <v>9</v>
      </c>
      <c r="G31" s="22" t="s">
        <v>10</v>
      </c>
      <c r="H31" s="22" t="s">
        <v>11</v>
      </c>
      <c r="I31" s="22" t="s">
        <v>51</v>
      </c>
      <c r="J31" s="12"/>
      <c r="K31" s="71"/>
      <c r="L31" s="71"/>
      <c r="M31" s="71"/>
      <c r="N31" s="71"/>
      <c r="O31" s="71"/>
      <c r="P31" s="71"/>
      <c r="Q31" s="71"/>
      <c r="R31" s="71"/>
      <c r="S31" s="71"/>
    </row>
    <row r="32" spans="1:19" s="1" customFormat="1" ht="22.5" customHeight="1" x14ac:dyDescent="0.25">
      <c r="A32" s="18">
        <v>2022</v>
      </c>
      <c r="B32" s="48"/>
      <c r="C32" s="48"/>
      <c r="D32" s="96">
        <f>IFERROR(C32/B32,0)</f>
        <v>0</v>
      </c>
      <c r="E32" s="48"/>
      <c r="F32" s="96">
        <f>IFERROR(E32/B32,0)</f>
        <v>0</v>
      </c>
      <c r="G32" s="48"/>
      <c r="H32" s="96">
        <f>IFERROR(G32/B32,0)</f>
        <v>0</v>
      </c>
      <c r="I32" s="96">
        <f>D32+F32+H32</f>
        <v>0</v>
      </c>
      <c r="J32" s="131"/>
      <c r="K32" s="71"/>
      <c r="L32" s="71"/>
      <c r="M32" s="71"/>
      <c r="N32" s="71"/>
      <c r="O32" s="71"/>
      <c r="P32" s="71"/>
      <c r="Q32" s="71"/>
      <c r="R32" s="71"/>
      <c r="S32" s="71"/>
    </row>
    <row r="33" spans="1:19" s="1" customFormat="1" ht="22.5" customHeight="1" x14ac:dyDescent="0.25">
      <c r="A33" s="18">
        <v>2023</v>
      </c>
      <c r="B33" s="48"/>
      <c r="C33" s="48"/>
      <c r="D33" s="96">
        <f t="shared" ref="D33:D35" si="8">IFERROR(C33/B33,0)</f>
        <v>0</v>
      </c>
      <c r="E33" s="48"/>
      <c r="F33" s="96">
        <f>IFERROR(E33/B33,0)</f>
        <v>0</v>
      </c>
      <c r="G33" s="48"/>
      <c r="H33" s="96">
        <f>IFERROR(G33/B33,0)</f>
        <v>0</v>
      </c>
      <c r="I33" s="96">
        <f t="shared" ref="I33:I35" si="9">D33+F33+H33</f>
        <v>0</v>
      </c>
      <c r="J33" s="131"/>
      <c r="K33" s="71"/>
      <c r="L33" s="71"/>
      <c r="M33" s="71"/>
      <c r="N33" s="71"/>
      <c r="O33" s="71"/>
      <c r="P33" s="71"/>
      <c r="Q33" s="71"/>
      <c r="R33" s="71"/>
      <c r="S33" s="71"/>
    </row>
    <row r="34" spans="1:19" s="1" customFormat="1" ht="22.5" customHeight="1" x14ac:dyDescent="0.25">
      <c r="A34" s="19">
        <v>2024</v>
      </c>
      <c r="B34" s="48"/>
      <c r="C34" s="48"/>
      <c r="D34" s="96">
        <f t="shared" si="8"/>
        <v>0</v>
      </c>
      <c r="E34" s="48"/>
      <c r="F34" s="96">
        <f>IFERROR(E34/B34,0)</f>
        <v>0</v>
      </c>
      <c r="G34" s="48"/>
      <c r="H34" s="96">
        <f t="shared" ref="H34:H35" si="10">IFERROR(G34/B34,0)</f>
        <v>0</v>
      </c>
      <c r="I34" s="96">
        <f t="shared" si="9"/>
        <v>0</v>
      </c>
      <c r="J34" s="132"/>
      <c r="K34" s="71"/>
      <c r="L34" s="71"/>
      <c r="M34" s="71"/>
      <c r="N34" s="71"/>
      <c r="O34" s="71"/>
      <c r="P34" s="71"/>
      <c r="Q34" s="71"/>
      <c r="R34" s="71"/>
      <c r="S34" s="71"/>
    </row>
    <row r="35" spans="1:19" s="1" customFormat="1" ht="22.5" customHeight="1" thickBot="1" x14ac:dyDescent="0.3">
      <c r="A35" s="20" t="s">
        <v>81</v>
      </c>
      <c r="B35" s="48"/>
      <c r="C35" s="48"/>
      <c r="D35" s="96">
        <f t="shared" si="8"/>
        <v>0</v>
      </c>
      <c r="E35" s="48"/>
      <c r="F35" s="96">
        <f>IFERROR(E35/B35,0)</f>
        <v>0</v>
      </c>
      <c r="G35" s="48"/>
      <c r="H35" s="97">
        <f t="shared" si="10"/>
        <v>0</v>
      </c>
      <c r="I35" s="97">
        <f t="shared" si="9"/>
        <v>0</v>
      </c>
      <c r="J35" s="133"/>
      <c r="K35" s="71"/>
      <c r="L35" s="71"/>
      <c r="M35" s="71"/>
      <c r="N35" s="71"/>
      <c r="O35" s="71"/>
      <c r="P35" s="71"/>
      <c r="Q35" s="71"/>
      <c r="R35" s="71"/>
      <c r="S35" s="71"/>
    </row>
    <row r="36" spans="1:19" s="6" customFormat="1" ht="15.75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5"/>
      <c r="K36" s="71"/>
      <c r="L36" s="71"/>
      <c r="M36" s="71"/>
      <c r="N36" s="71"/>
      <c r="O36" s="71"/>
      <c r="P36" s="71"/>
      <c r="Q36" s="71"/>
      <c r="R36" s="71"/>
      <c r="S36" s="71"/>
    </row>
    <row r="37" spans="1:19" s="1" customFormat="1" ht="15.75" customHeight="1" x14ac:dyDescent="0.25">
      <c r="A37" s="218" t="s">
        <v>12</v>
      </c>
      <c r="B37" s="224" t="s">
        <v>13</v>
      </c>
      <c r="C37" s="190"/>
      <c r="D37" s="190"/>
      <c r="E37" s="190"/>
      <c r="F37" s="190"/>
      <c r="G37" s="190"/>
      <c r="H37" s="190"/>
      <c r="I37" s="190"/>
      <c r="J37" s="191"/>
      <c r="K37" s="71"/>
      <c r="L37" s="71"/>
      <c r="M37" s="71"/>
      <c r="N37" s="71"/>
      <c r="O37" s="71"/>
      <c r="P37" s="71"/>
      <c r="Q37" s="71"/>
      <c r="R37" s="71"/>
      <c r="S37" s="71"/>
    </row>
    <row r="38" spans="1:19" s="1" customFormat="1" ht="50.25" customHeight="1" thickBot="1" x14ac:dyDescent="0.3">
      <c r="A38" s="219"/>
      <c r="B38" s="220"/>
      <c r="C38" s="220"/>
      <c r="D38" s="220"/>
      <c r="E38" s="220"/>
      <c r="F38" s="220"/>
      <c r="G38" s="220"/>
      <c r="H38" s="220"/>
      <c r="I38" s="220"/>
      <c r="J38" s="221"/>
      <c r="K38" s="71"/>
      <c r="L38" s="71"/>
      <c r="M38" s="71"/>
      <c r="N38" s="71"/>
      <c r="O38" s="71"/>
      <c r="P38" s="71"/>
      <c r="Q38" s="71"/>
      <c r="R38" s="71"/>
      <c r="S38" s="71"/>
    </row>
    <row r="39" spans="1:19" s="6" customFormat="1" ht="15.75" thickBot="1" x14ac:dyDescent="0.3">
      <c r="A39" s="7"/>
      <c r="B39" s="4"/>
      <c r="C39" s="4"/>
      <c r="D39" s="4"/>
      <c r="E39" s="4"/>
      <c r="F39" s="4"/>
      <c r="G39" s="4"/>
      <c r="H39" s="4"/>
      <c r="I39" s="4"/>
      <c r="J39" s="4"/>
      <c r="K39" s="71"/>
      <c r="L39" s="71"/>
      <c r="M39" s="71"/>
      <c r="N39" s="71"/>
      <c r="O39" s="71"/>
      <c r="P39" s="71"/>
      <c r="Q39" s="71"/>
      <c r="R39" s="71"/>
      <c r="S39" s="71"/>
    </row>
    <row r="40" spans="1:19" s="145" customFormat="1" ht="60" customHeight="1" thickBot="1" x14ac:dyDescent="0.3">
      <c r="A40" s="147" t="s">
        <v>109</v>
      </c>
      <c r="B40" s="167"/>
      <c r="C40" s="167"/>
      <c r="D40" s="167"/>
      <c r="E40" s="167"/>
      <c r="F40" s="167"/>
      <c r="G40" s="167"/>
      <c r="H40" s="167"/>
      <c r="I40" s="167"/>
      <c r="J40" s="168"/>
      <c r="O40" s="71"/>
      <c r="P40" s="71"/>
      <c r="Q40" s="71"/>
    </row>
    <row r="41" spans="1:19" x14ac:dyDescent="0.25"/>
    <row r="42" spans="1:19" x14ac:dyDescent="0.25">
      <c r="A42" s="81"/>
      <c r="B42" s="82"/>
    </row>
    <row r="43" spans="1:19" x14ac:dyDescent="0.25">
      <c r="A43" s="83"/>
      <c r="B43" s="82"/>
    </row>
    <row r="44" spans="1:19" x14ac:dyDescent="0.25">
      <c r="A44" s="83"/>
      <c r="B44" s="82"/>
    </row>
    <row r="45" spans="1:19" x14ac:dyDescent="0.25">
      <c r="A45" s="83"/>
      <c r="B45" s="82"/>
    </row>
    <row r="46" spans="1:19" x14ac:dyDescent="0.25">
      <c r="A46" s="83"/>
      <c r="B46" s="82"/>
    </row>
    <row r="47" spans="1:19" s="1" customFormat="1" hidden="1" x14ac:dyDescent="0.25">
      <c r="A47" s="29"/>
      <c r="B47" s="28"/>
      <c r="C47" s="8"/>
      <c r="D47" s="8"/>
      <c r="E47" s="8"/>
      <c r="F47" s="8"/>
      <c r="G47" s="8"/>
      <c r="H47" s="8"/>
      <c r="I47" s="8"/>
      <c r="J47" s="8"/>
      <c r="O47" s="71"/>
      <c r="P47" s="71"/>
      <c r="Q47" s="71"/>
      <c r="R47" s="71"/>
      <c r="S47" s="71"/>
    </row>
    <row r="48" spans="1:19" s="1" customFormat="1" hidden="1" x14ac:dyDescent="0.25">
      <c r="A48" s="29"/>
      <c r="B48" s="28"/>
      <c r="C48" s="8"/>
      <c r="D48" s="8"/>
      <c r="E48" s="8"/>
      <c r="F48" s="8"/>
      <c r="G48" s="8"/>
      <c r="H48" s="8"/>
      <c r="I48" s="8"/>
      <c r="J48" s="8"/>
      <c r="O48" s="71"/>
      <c r="P48" s="71"/>
      <c r="Q48" s="71"/>
      <c r="R48" s="71"/>
      <c r="S48" s="71"/>
    </row>
    <row r="49" spans="1:19" s="1" customFormat="1" hidden="1" x14ac:dyDescent="0.25">
      <c r="A49" s="29"/>
      <c r="B49" s="28"/>
      <c r="C49" s="8"/>
      <c r="D49" s="8"/>
      <c r="E49" s="8"/>
      <c r="F49" s="8"/>
      <c r="G49" s="8"/>
      <c r="H49" s="8"/>
      <c r="I49" s="8"/>
      <c r="J49" s="8"/>
      <c r="O49" s="71"/>
      <c r="P49" s="71"/>
      <c r="Q49" s="71"/>
      <c r="R49" s="71"/>
      <c r="S49" s="71"/>
    </row>
    <row r="50" spans="1:19" s="1" customFormat="1" hidden="1" x14ac:dyDescent="0.25">
      <c r="A50" s="29"/>
      <c r="B50" s="28"/>
      <c r="C50" s="8"/>
      <c r="D50" s="8"/>
      <c r="E50" s="8"/>
      <c r="F50" s="8"/>
      <c r="G50" s="8"/>
      <c r="H50" s="8"/>
      <c r="I50" s="8"/>
      <c r="J50" s="8"/>
      <c r="O50" s="71"/>
      <c r="P50" s="71"/>
      <c r="Q50" s="71"/>
      <c r="R50" s="71"/>
      <c r="S50" s="71"/>
    </row>
    <row r="51" spans="1:19" s="1" customFormat="1" hidden="1" x14ac:dyDescent="0.25">
      <c r="A51" s="29"/>
      <c r="B51" s="28"/>
      <c r="C51" s="8"/>
      <c r="D51" s="8"/>
      <c r="E51" s="8"/>
      <c r="F51" s="8"/>
      <c r="G51" s="8"/>
      <c r="H51" s="8"/>
      <c r="I51" s="8"/>
      <c r="J51" s="8"/>
      <c r="O51" s="71"/>
      <c r="P51" s="71"/>
      <c r="Q51" s="71"/>
      <c r="R51" s="71"/>
      <c r="S51" s="71"/>
    </row>
    <row r="52" spans="1:19" s="1" customFormat="1" hidden="1" x14ac:dyDescent="0.25">
      <c r="A52" s="27"/>
      <c r="B52" s="28"/>
      <c r="C52" s="8"/>
      <c r="D52" s="8"/>
      <c r="E52" s="8"/>
      <c r="F52" s="8"/>
      <c r="G52" s="8"/>
      <c r="H52" s="8"/>
      <c r="I52" s="8"/>
      <c r="J52" s="8"/>
      <c r="O52" s="71"/>
      <c r="P52" s="71"/>
      <c r="Q52" s="71"/>
      <c r="R52" s="71"/>
      <c r="S52" s="71"/>
    </row>
    <row r="53" spans="1:19" s="1" customFormat="1" hidden="1" x14ac:dyDescent="0.25">
      <c r="A53" s="27"/>
      <c r="B53" s="28"/>
      <c r="C53" s="8"/>
      <c r="D53" s="8"/>
      <c r="E53" s="8"/>
      <c r="F53" s="8"/>
      <c r="G53" s="8"/>
      <c r="H53" s="8"/>
      <c r="I53" s="8"/>
      <c r="J53" s="8"/>
      <c r="O53" s="71"/>
      <c r="P53" s="71"/>
      <c r="Q53" s="71"/>
      <c r="R53" s="71"/>
      <c r="S53" s="71"/>
    </row>
    <row r="54" spans="1:19" s="1" customFormat="1" hidden="1" x14ac:dyDescent="0.25">
      <c r="A54" s="27"/>
      <c r="B54" s="28"/>
      <c r="C54" s="8"/>
      <c r="D54" s="8"/>
      <c r="E54" s="8"/>
      <c r="F54" s="8"/>
      <c r="G54" s="8"/>
      <c r="H54" s="8"/>
      <c r="I54" s="8"/>
      <c r="J54" s="8"/>
      <c r="O54" s="71"/>
      <c r="P54" s="71"/>
      <c r="Q54" s="71"/>
      <c r="R54" s="71"/>
      <c r="S54" s="71"/>
    </row>
    <row r="55" spans="1:19" x14ac:dyDescent="0.25"/>
    <row r="56" spans="1:19" x14ac:dyDescent="0.25"/>
    <row r="57" spans="1:19" x14ac:dyDescent="0.25"/>
    <row r="58" spans="1:19" x14ac:dyDescent="0.25"/>
    <row r="59" spans="1:19" x14ac:dyDescent="0.25"/>
    <row r="60" spans="1:19" x14ac:dyDescent="0.25"/>
    <row r="62" spans="1:19" x14ac:dyDescent="0.25"/>
    <row r="63" spans="1:19" x14ac:dyDescent="0.25"/>
  </sheetData>
  <sheetProtection algorithmName="SHA-512" hashValue="Z9YlOVwSxLIKPxcATCRzmqfMbSYJfsyevaf9nuix78WlCXeSmrXy9XLx+lnywnWAJFZOMavNcUZBWuMKrcgQew==" saltValue="1LD6BHQ82BZa1uudQvtNlg==" spinCount="100000" sheet="1" objects="1" scenarios="1"/>
  <protectedRanges>
    <protectedRange sqref="A7:A10" name="Bereich1"/>
    <protectedRange sqref="A25" name="Bereich1_1_1"/>
  </protectedRanges>
  <mergeCells count="63">
    <mergeCell ref="B40:J40"/>
    <mergeCell ref="F28:J30"/>
    <mergeCell ref="A37:A38"/>
    <mergeCell ref="B38:J38"/>
    <mergeCell ref="A28:C28"/>
    <mergeCell ref="B37:J37"/>
    <mergeCell ref="A30:E30"/>
    <mergeCell ref="N5:N6"/>
    <mergeCell ref="A5:A6"/>
    <mergeCell ref="A1:N1"/>
    <mergeCell ref="B5:B6"/>
    <mergeCell ref="D5:F5"/>
    <mergeCell ref="B3:N3"/>
    <mergeCell ref="C5:C6"/>
    <mergeCell ref="K5:K6"/>
    <mergeCell ref="L5:L6"/>
    <mergeCell ref="B2:N2"/>
    <mergeCell ref="M5:M6"/>
    <mergeCell ref="G5:H6"/>
    <mergeCell ref="I5:J6"/>
    <mergeCell ref="B4:N4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I18:J18"/>
    <mergeCell ref="G27:H27"/>
    <mergeCell ref="I27:J27"/>
    <mergeCell ref="G24:H24"/>
    <mergeCell ref="I24:J24"/>
    <mergeCell ref="G25:H25"/>
    <mergeCell ref="I25:J25"/>
    <mergeCell ref="G26:H26"/>
    <mergeCell ref="I26:J26"/>
    <mergeCell ref="G23:H23"/>
    <mergeCell ref="I23:J23"/>
    <mergeCell ref="G18:H18"/>
    <mergeCell ref="G19:H19"/>
    <mergeCell ref="I19:J19"/>
    <mergeCell ref="G20:H20"/>
    <mergeCell ref="I20:J20"/>
    <mergeCell ref="G21:H21"/>
    <mergeCell ref="I21:J21"/>
    <mergeCell ref="G22:H22"/>
    <mergeCell ref="I22:J22"/>
  </mergeCells>
  <conditionalFormatting sqref="I32:I35">
    <cfRule type="cellIs" dxfId="44" priority="7" operator="greaterThan">
      <formula>1</formula>
    </cfRule>
  </conditionalFormatting>
  <conditionalFormatting sqref="H32:H35">
    <cfRule type="cellIs" dxfId="43" priority="6" operator="greaterThan">
      <formula>1</formula>
    </cfRule>
  </conditionalFormatting>
  <conditionalFormatting sqref="I32:I35">
    <cfRule type="cellIs" dxfId="42" priority="5" operator="greaterThan">
      <formula>1</formula>
    </cfRule>
  </conditionalFormatting>
  <dataValidations disablePrompts="1" count="1">
    <dataValidation type="list" operator="equal" showInputMessage="1" showErrorMessage="1" errorTitle="Falsche Gruppe" error="Es ist nur die Eingabe folgender Gruppen laut GPA-Schema möglich:_x000a_1, 4, 5, 6, 7, 8" sqref="C7:C22" xr:uid="{00000000-0002-0000-0100-000000000000}">
      <formula1>"1,4,5,6,7,8"</formula1>
    </dataValidation>
  </dataValidations>
  <hyperlinks>
    <hyperlink ref="A29" r:id="rId1" xr:uid="{00000000-0004-0000-0100-000000000000}"/>
  </hyperlinks>
  <pageMargins left="0.70866141732283472" right="0.70866141732283472" top="0.78740157480314965" bottom="1.8897637795275593" header="0.31496062992125984" footer="0.31496062992125984"/>
  <pageSetup paperSize="9" scale="57" fitToHeight="2" orientation="landscape" r:id="rId2"/>
  <headerFooter>
    <oddHeader>&amp;CDatenblatt "Gerechte Entlohnung 2025" Abteilung 9 Land Steiermark
 Honorare Organisatorische Tätigkeiten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92FE15C6-6992-46CA-AE8A-DB13D5DE7EB7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F7:F22</xm:sqref>
        </x14:conditionalFormatting>
        <x14:conditionalFormatting xmlns:xm="http://schemas.microsoft.com/office/excel/2006/main">
          <x14:cfRule type="containsText" priority="4" operator="containsText" id="{6FD564D7-B358-427B-92E5-4070DAE3BB34}">
            <xm:f>NOT(ISERROR(SEARCH("-",G7)))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3" operator="containsText" id="{05D57A27-9445-412A-BDEF-492B67C604D6}">
            <xm:f>NOT(ISERROR(SEARCH("-",G8)))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ontainsText" priority="2" operator="containsText" id="{DC864A97-EE02-4C31-8007-076242DD3B55}">
            <xm:f>NOT(ISERROR(SEARCH("-",G9)))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containsText" priority="1" operator="containsText" id="{88872AC0-635D-4318-8C53-2602EB3F898F}">
            <xm:f>NOT(ISERROR(SEARCH("-",G10)))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G10:G22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S60"/>
  <sheetViews>
    <sheetView showGridLines="0" topLeftCell="A7" zoomScale="80" zoomScaleNormal="80" zoomScalePageLayoutView="85" workbookViewId="0">
      <selection activeCell="A40" sqref="A40"/>
    </sheetView>
  </sheetViews>
  <sheetFormatPr baseColWidth="10" defaultColWidth="0" defaultRowHeight="15" zeroHeight="1" x14ac:dyDescent="0.25"/>
  <cols>
    <col min="1" max="1" width="61.7109375" style="1" customWidth="1"/>
    <col min="2" max="2" width="18.28515625" style="8" customWidth="1"/>
    <col min="3" max="3" width="32.7109375" style="8" bestFit="1" customWidth="1"/>
    <col min="4" max="4" width="19.140625" style="8" customWidth="1"/>
    <col min="5" max="5" width="19.140625" style="8" bestFit="1" customWidth="1"/>
    <col min="6" max="6" width="22.5703125" style="8" customWidth="1"/>
    <col min="7" max="9" width="18.28515625" style="8" customWidth="1"/>
    <col min="10" max="10" width="7.85546875" style="8" customWidth="1"/>
    <col min="11" max="14" width="15.7109375" style="1" hidden="1" customWidth="1"/>
    <col min="15" max="17" width="11.5703125" style="71" customWidth="1"/>
    <col min="18" max="19" width="11.5703125" style="71" hidden="1" customWidth="1"/>
    <col min="20" max="16384" width="11.5703125" style="1" hidden="1"/>
  </cols>
  <sheetData>
    <row r="1" spans="1:16" ht="70.5" customHeight="1" thickBot="1" x14ac:dyDescent="0.3">
      <c r="A1" s="194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  <c r="O1" s="70"/>
    </row>
    <row r="2" spans="1:16" ht="28.9" customHeight="1" x14ac:dyDescent="0.25">
      <c r="A2" s="1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  <c r="O2" s="72"/>
      <c r="P2" s="73"/>
    </row>
    <row r="3" spans="1:16" ht="28.9" customHeight="1" thickBot="1" x14ac:dyDescent="0.3">
      <c r="A3" s="69" t="s">
        <v>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8"/>
      <c r="O3" s="74"/>
      <c r="P3" s="75"/>
    </row>
    <row r="4" spans="1:16" ht="25.5" customHeight="1" thickBot="1" x14ac:dyDescent="0.3">
      <c r="A4" s="2"/>
      <c r="B4" s="154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/>
      <c r="O4" s="70"/>
    </row>
    <row r="5" spans="1:16" ht="15" customHeight="1" x14ac:dyDescent="0.25">
      <c r="A5" s="185" t="s">
        <v>68</v>
      </c>
      <c r="B5" s="199" t="s">
        <v>53</v>
      </c>
      <c r="C5" s="199" t="s">
        <v>96</v>
      </c>
      <c r="D5" s="201" t="s">
        <v>15</v>
      </c>
      <c r="E5" s="202"/>
      <c r="F5" s="214"/>
      <c r="G5" s="179" t="s">
        <v>99</v>
      </c>
      <c r="H5" s="215"/>
      <c r="I5" s="179" t="s">
        <v>25</v>
      </c>
      <c r="J5" s="211"/>
      <c r="K5" s="205" t="s">
        <v>23</v>
      </c>
      <c r="L5" s="203" t="s">
        <v>24</v>
      </c>
      <c r="M5" s="203" t="s">
        <v>22</v>
      </c>
      <c r="N5" s="209" t="s">
        <v>21</v>
      </c>
    </row>
    <row r="6" spans="1:16" ht="75" customHeight="1" x14ac:dyDescent="0.25">
      <c r="A6" s="186"/>
      <c r="B6" s="200"/>
      <c r="C6" s="200"/>
      <c r="D6" s="17" t="s">
        <v>98</v>
      </c>
      <c r="E6" s="17" t="s">
        <v>97</v>
      </c>
      <c r="F6" s="36" t="s">
        <v>108</v>
      </c>
      <c r="G6" s="216"/>
      <c r="H6" s="217"/>
      <c r="I6" s="181"/>
      <c r="J6" s="212"/>
      <c r="K6" s="206"/>
      <c r="L6" s="204"/>
      <c r="M6" s="204"/>
      <c r="N6" s="210"/>
    </row>
    <row r="7" spans="1:16" ht="22.7" customHeight="1" x14ac:dyDescent="0.25">
      <c r="A7" s="108"/>
      <c r="B7" s="98"/>
      <c r="C7" s="26"/>
      <c r="D7" s="30"/>
      <c r="E7" s="91">
        <f>IFERROR(IF(C7="Einzelausstellung",1700,IF(C7="mit 2-3 beteiligten Künstler:innen",900,IF(C7="mit 4-7 beteiligten Künstler:innen",575,IF(C7="ab 8 beteiligten Künstler:innen",400,IF(A7="Artist Lecture",400,IF(A7="Artist Talk",250,0)))))),0)</f>
        <v>0</v>
      </c>
      <c r="F7" s="116">
        <f>IFERROR(IF(AND(A7="Ausstellung",C7&lt;&gt;""),(D7-E7)*B7,IF(A7="Artist Lecture",(D7-E7)*B7,IF(A7="Artist Talk",(D7-E7)*B7,0))),0)</f>
        <v>0</v>
      </c>
      <c r="G7" s="164">
        <f>F7*0.243</f>
        <v>0</v>
      </c>
      <c r="H7" s="165"/>
      <c r="I7" s="157">
        <f>IFERROR((D7-E7)/D7,0)</f>
        <v>0</v>
      </c>
      <c r="J7" s="158"/>
      <c r="K7" s="33"/>
      <c r="L7" s="93">
        <f t="shared" ref="L7:L22" si="0">IFERROR(K7/G7,0)</f>
        <v>0</v>
      </c>
      <c r="M7" s="33"/>
      <c r="N7" s="94">
        <f t="shared" ref="N7:N22" si="1">IFERROR(M7/H7,0)</f>
        <v>0</v>
      </c>
    </row>
    <row r="8" spans="1:16" ht="22.7" customHeight="1" x14ac:dyDescent="0.25">
      <c r="A8" s="108"/>
      <c r="B8" s="98"/>
      <c r="C8" s="26"/>
      <c r="D8" s="30"/>
      <c r="E8" s="91">
        <f t="shared" ref="E8:E22" si="2">IFERROR(IF(C8="Einzelausstellung",1700,IF(C8="mit 2-3 beteiligten Künstler:innen",900,IF(C8="mit 4-7 beteiligten Künstler:innen",575,IF(C8="ab 8 beteiligten Künstler:innen",400,IF(A8="Artist Lecture",400,IF(A8="Artist Talk",250,0)))))),0)</f>
        <v>0</v>
      </c>
      <c r="F8" s="116">
        <f t="shared" ref="F8:F22" si="3">IFERROR(IF(AND(A8="Ausstellung",C8&lt;&gt;""),(D8-E8)*B8,IF(A8="Artist Lecture",(D8-E8)*B8,IF(A8="Artist Talk",(D8-E8)*B8,0))),0)</f>
        <v>0</v>
      </c>
      <c r="G8" s="164">
        <f t="shared" ref="G8:G22" si="4">F8*0.243</f>
        <v>0</v>
      </c>
      <c r="H8" s="165"/>
      <c r="I8" s="157">
        <f t="shared" ref="I8:I22" si="5">IFERROR((D8-E8)/D8,0)</f>
        <v>0</v>
      </c>
      <c r="J8" s="158"/>
      <c r="K8" s="33"/>
      <c r="L8" s="93">
        <f t="shared" si="0"/>
        <v>0</v>
      </c>
      <c r="M8" s="33"/>
      <c r="N8" s="94">
        <f t="shared" si="1"/>
        <v>0</v>
      </c>
    </row>
    <row r="9" spans="1:16" ht="22.7" customHeight="1" x14ac:dyDescent="0.25">
      <c r="A9" s="108"/>
      <c r="B9" s="98"/>
      <c r="C9" s="26"/>
      <c r="D9" s="30"/>
      <c r="E9" s="91">
        <f t="shared" si="2"/>
        <v>0</v>
      </c>
      <c r="F9" s="116">
        <f t="shared" si="3"/>
        <v>0</v>
      </c>
      <c r="G9" s="164">
        <f t="shared" si="4"/>
        <v>0</v>
      </c>
      <c r="H9" s="165"/>
      <c r="I9" s="157">
        <f t="shared" si="5"/>
        <v>0</v>
      </c>
      <c r="J9" s="158"/>
      <c r="K9" s="33"/>
      <c r="L9" s="93">
        <f t="shared" si="0"/>
        <v>0</v>
      </c>
      <c r="M9" s="33"/>
      <c r="N9" s="94">
        <f t="shared" si="1"/>
        <v>0</v>
      </c>
    </row>
    <row r="10" spans="1:16" ht="22.7" customHeight="1" x14ac:dyDescent="0.25">
      <c r="A10" s="108"/>
      <c r="B10" s="98"/>
      <c r="C10" s="26"/>
      <c r="D10" s="30"/>
      <c r="E10" s="91">
        <f t="shared" si="2"/>
        <v>0</v>
      </c>
      <c r="F10" s="116">
        <f t="shared" si="3"/>
        <v>0</v>
      </c>
      <c r="G10" s="164">
        <f t="shared" si="4"/>
        <v>0</v>
      </c>
      <c r="H10" s="165"/>
      <c r="I10" s="157">
        <f t="shared" si="5"/>
        <v>0</v>
      </c>
      <c r="J10" s="158"/>
      <c r="K10" s="33"/>
      <c r="L10" s="93">
        <f t="shared" si="0"/>
        <v>0</v>
      </c>
      <c r="M10" s="33"/>
      <c r="N10" s="94">
        <f t="shared" si="1"/>
        <v>0</v>
      </c>
    </row>
    <row r="11" spans="1:16" ht="22.5" customHeight="1" x14ac:dyDescent="0.25">
      <c r="A11" s="108"/>
      <c r="B11" s="98"/>
      <c r="C11" s="26"/>
      <c r="D11" s="30"/>
      <c r="E11" s="91">
        <f t="shared" si="2"/>
        <v>0</v>
      </c>
      <c r="F11" s="116">
        <f t="shared" si="3"/>
        <v>0</v>
      </c>
      <c r="G11" s="164">
        <f t="shared" si="4"/>
        <v>0</v>
      </c>
      <c r="H11" s="165"/>
      <c r="I11" s="157">
        <f t="shared" si="5"/>
        <v>0</v>
      </c>
      <c r="J11" s="158"/>
      <c r="K11" s="33"/>
      <c r="L11" s="93">
        <f t="shared" si="0"/>
        <v>0</v>
      </c>
      <c r="M11" s="33"/>
      <c r="N11" s="94">
        <f t="shared" si="1"/>
        <v>0</v>
      </c>
    </row>
    <row r="12" spans="1:16" ht="22.7" customHeight="1" x14ac:dyDescent="0.25">
      <c r="A12" s="108"/>
      <c r="B12" s="98"/>
      <c r="C12" s="26"/>
      <c r="D12" s="30"/>
      <c r="E12" s="91">
        <f t="shared" si="2"/>
        <v>0</v>
      </c>
      <c r="F12" s="116">
        <f t="shared" si="3"/>
        <v>0</v>
      </c>
      <c r="G12" s="164">
        <f t="shared" si="4"/>
        <v>0</v>
      </c>
      <c r="H12" s="165"/>
      <c r="I12" s="157">
        <f t="shared" si="5"/>
        <v>0</v>
      </c>
      <c r="J12" s="158"/>
      <c r="K12" s="33"/>
      <c r="L12" s="93">
        <f t="shared" si="0"/>
        <v>0</v>
      </c>
      <c r="M12" s="33"/>
      <c r="N12" s="94">
        <f t="shared" si="1"/>
        <v>0</v>
      </c>
    </row>
    <row r="13" spans="1:16" ht="22.7" customHeight="1" x14ac:dyDescent="0.25">
      <c r="A13" s="108"/>
      <c r="B13" s="98"/>
      <c r="C13" s="26"/>
      <c r="D13" s="30"/>
      <c r="E13" s="91">
        <f t="shared" si="2"/>
        <v>0</v>
      </c>
      <c r="F13" s="116">
        <f t="shared" si="3"/>
        <v>0</v>
      </c>
      <c r="G13" s="164">
        <f t="shared" si="4"/>
        <v>0</v>
      </c>
      <c r="H13" s="165"/>
      <c r="I13" s="157">
        <f t="shared" si="5"/>
        <v>0</v>
      </c>
      <c r="J13" s="158"/>
      <c r="K13" s="33"/>
      <c r="L13" s="93">
        <f t="shared" si="0"/>
        <v>0</v>
      </c>
      <c r="M13" s="33"/>
      <c r="N13" s="94">
        <f t="shared" si="1"/>
        <v>0</v>
      </c>
    </row>
    <row r="14" spans="1:16" ht="22.7" customHeight="1" x14ac:dyDescent="0.25">
      <c r="A14" s="108"/>
      <c r="B14" s="98"/>
      <c r="C14" s="26"/>
      <c r="D14" s="30"/>
      <c r="E14" s="91">
        <f t="shared" si="2"/>
        <v>0</v>
      </c>
      <c r="F14" s="116">
        <f t="shared" si="3"/>
        <v>0</v>
      </c>
      <c r="G14" s="164">
        <f t="shared" si="4"/>
        <v>0</v>
      </c>
      <c r="H14" s="165"/>
      <c r="I14" s="157">
        <f t="shared" si="5"/>
        <v>0</v>
      </c>
      <c r="J14" s="158"/>
      <c r="K14" s="33"/>
      <c r="L14" s="93">
        <f t="shared" si="0"/>
        <v>0</v>
      </c>
      <c r="M14" s="33"/>
      <c r="N14" s="94">
        <f t="shared" si="1"/>
        <v>0</v>
      </c>
    </row>
    <row r="15" spans="1:16" ht="22.7" customHeight="1" x14ac:dyDescent="0.25">
      <c r="A15" s="108"/>
      <c r="B15" s="98"/>
      <c r="C15" s="26"/>
      <c r="D15" s="30"/>
      <c r="E15" s="91">
        <f t="shared" si="2"/>
        <v>0</v>
      </c>
      <c r="F15" s="116">
        <f t="shared" si="3"/>
        <v>0</v>
      </c>
      <c r="G15" s="164">
        <f t="shared" si="4"/>
        <v>0</v>
      </c>
      <c r="H15" s="165"/>
      <c r="I15" s="157">
        <f t="shared" si="5"/>
        <v>0</v>
      </c>
      <c r="J15" s="158"/>
      <c r="K15" s="33"/>
      <c r="L15" s="93">
        <f t="shared" si="0"/>
        <v>0</v>
      </c>
      <c r="M15" s="33"/>
      <c r="N15" s="94">
        <f t="shared" si="1"/>
        <v>0</v>
      </c>
    </row>
    <row r="16" spans="1:16" ht="22.7" customHeight="1" x14ac:dyDescent="0.25">
      <c r="A16" s="108"/>
      <c r="B16" s="98"/>
      <c r="C16" s="26"/>
      <c r="D16" s="30"/>
      <c r="E16" s="91">
        <f t="shared" si="2"/>
        <v>0</v>
      </c>
      <c r="F16" s="116">
        <f t="shared" si="3"/>
        <v>0</v>
      </c>
      <c r="G16" s="164">
        <f t="shared" si="4"/>
        <v>0</v>
      </c>
      <c r="H16" s="165"/>
      <c r="I16" s="157">
        <f t="shared" si="5"/>
        <v>0</v>
      </c>
      <c r="J16" s="158"/>
      <c r="K16" s="33"/>
      <c r="L16" s="93">
        <f t="shared" si="0"/>
        <v>0</v>
      </c>
      <c r="M16" s="33"/>
      <c r="N16" s="94">
        <f t="shared" si="1"/>
        <v>0</v>
      </c>
    </row>
    <row r="17" spans="1:14" ht="22.7" customHeight="1" x14ac:dyDescent="0.25">
      <c r="A17" s="108"/>
      <c r="B17" s="98"/>
      <c r="C17" s="26"/>
      <c r="D17" s="30"/>
      <c r="E17" s="91">
        <f t="shared" si="2"/>
        <v>0</v>
      </c>
      <c r="F17" s="116">
        <f t="shared" si="3"/>
        <v>0</v>
      </c>
      <c r="G17" s="164">
        <f t="shared" si="4"/>
        <v>0</v>
      </c>
      <c r="H17" s="165"/>
      <c r="I17" s="157">
        <f t="shared" si="5"/>
        <v>0</v>
      </c>
      <c r="J17" s="158"/>
      <c r="K17" s="33"/>
      <c r="L17" s="93">
        <f t="shared" si="0"/>
        <v>0</v>
      </c>
      <c r="M17" s="33"/>
      <c r="N17" s="94">
        <f t="shared" si="1"/>
        <v>0</v>
      </c>
    </row>
    <row r="18" spans="1:14" ht="22.7" customHeight="1" x14ac:dyDescent="0.25">
      <c r="A18" s="108"/>
      <c r="B18" s="98"/>
      <c r="C18" s="26"/>
      <c r="D18" s="30"/>
      <c r="E18" s="91">
        <f t="shared" si="2"/>
        <v>0</v>
      </c>
      <c r="F18" s="116">
        <f t="shared" si="3"/>
        <v>0</v>
      </c>
      <c r="G18" s="164">
        <f t="shared" si="4"/>
        <v>0</v>
      </c>
      <c r="H18" s="165"/>
      <c r="I18" s="157">
        <f t="shared" si="5"/>
        <v>0</v>
      </c>
      <c r="J18" s="158"/>
      <c r="K18" s="33"/>
      <c r="L18" s="93">
        <f t="shared" si="0"/>
        <v>0</v>
      </c>
      <c r="M18" s="33"/>
      <c r="N18" s="94">
        <f t="shared" si="1"/>
        <v>0</v>
      </c>
    </row>
    <row r="19" spans="1:14" ht="22.7" customHeight="1" x14ac:dyDescent="0.25">
      <c r="A19" s="108"/>
      <c r="B19" s="98"/>
      <c r="C19" s="26"/>
      <c r="D19" s="30"/>
      <c r="E19" s="91">
        <f t="shared" si="2"/>
        <v>0</v>
      </c>
      <c r="F19" s="116">
        <f t="shared" si="3"/>
        <v>0</v>
      </c>
      <c r="G19" s="164">
        <f t="shared" si="4"/>
        <v>0</v>
      </c>
      <c r="H19" s="165"/>
      <c r="I19" s="157">
        <f t="shared" si="5"/>
        <v>0</v>
      </c>
      <c r="J19" s="158"/>
      <c r="K19" s="33"/>
      <c r="L19" s="93">
        <f t="shared" si="0"/>
        <v>0</v>
      </c>
      <c r="M19" s="33"/>
      <c r="N19" s="94">
        <f t="shared" si="1"/>
        <v>0</v>
      </c>
    </row>
    <row r="20" spans="1:14" ht="22.7" customHeight="1" x14ac:dyDescent="0.25">
      <c r="A20" s="108"/>
      <c r="B20" s="98"/>
      <c r="C20" s="26"/>
      <c r="D20" s="30"/>
      <c r="E20" s="91">
        <f t="shared" si="2"/>
        <v>0</v>
      </c>
      <c r="F20" s="116">
        <f t="shared" si="3"/>
        <v>0</v>
      </c>
      <c r="G20" s="164">
        <f t="shared" si="4"/>
        <v>0</v>
      </c>
      <c r="H20" s="165"/>
      <c r="I20" s="157">
        <f t="shared" si="5"/>
        <v>0</v>
      </c>
      <c r="J20" s="158"/>
      <c r="K20" s="33"/>
      <c r="L20" s="93">
        <f t="shared" si="0"/>
        <v>0</v>
      </c>
      <c r="M20" s="33"/>
      <c r="N20" s="94">
        <f t="shared" si="1"/>
        <v>0</v>
      </c>
    </row>
    <row r="21" spans="1:14" ht="22.7" customHeight="1" x14ac:dyDescent="0.25">
      <c r="A21" s="108"/>
      <c r="B21" s="98"/>
      <c r="C21" s="26"/>
      <c r="D21" s="30"/>
      <c r="E21" s="91">
        <f t="shared" si="2"/>
        <v>0</v>
      </c>
      <c r="F21" s="116">
        <f t="shared" si="3"/>
        <v>0</v>
      </c>
      <c r="G21" s="164">
        <f t="shared" si="4"/>
        <v>0</v>
      </c>
      <c r="H21" s="165"/>
      <c r="I21" s="157">
        <f t="shared" si="5"/>
        <v>0</v>
      </c>
      <c r="J21" s="158"/>
      <c r="K21" s="33"/>
      <c r="L21" s="93">
        <f t="shared" si="0"/>
        <v>0</v>
      </c>
      <c r="M21" s="33"/>
      <c r="N21" s="94">
        <f t="shared" si="1"/>
        <v>0</v>
      </c>
    </row>
    <row r="22" spans="1:14" ht="22.7" customHeight="1" x14ac:dyDescent="0.25">
      <c r="A22" s="108"/>
      <c r="B22" s="98"/>
      <c r="C22" s="26"/>
      <c r="D22" s="30"/>
      <c r="E22" s="91">
        <f t="shared" si="2"/>
        <v>0</v>
      </c>
      <c r="F22" s="116">
        <f t="shared" si="3"/>
        <v>0</v>
      </c>
      <c r="G22" s="164">
        <f t="shared" si="4"/>
        <v>0</v>
      </c>
      <c r="H22" s="165"/>
      <c r="I22" s="157">
        <f t="shared" si="5"/>
        <v>0</v>
      </c>
      <c r="J22" s="158"/>
      <c r="K22" s="33"/>
      <c r="L22" s="93">
        <f t="shared" si="0"/>
        <v>0</v>
      </c>
      <c r="M22" s="33"/>
      <c r="N22" s="94">
        <f t="shared" si="1"/>
        <v>0</v>
      </c>
    </row>
    <row r="23" spans="1:14" x14ac:dyDescent="0.25">
      <c r="A23" s="66" t="s">
        <v>82</v>
      </c>
      <c r="B23" s="99"/>
      <c r="C23" s="38"/>
      <c r="D23" s="39"/>
      <c r="E23" s="39"/>
      <c r="F23" s="39"/>
      <c r="G23" s="159"/>
      <c r="H23" s="213"/>
      <c r="I23" s="159"/>
      <c r="J23" s="160"/>
      <c r="K23" s="40"/>
      <c r="L23" s="41"/>
      <c r="M23" s="39"/>
      <c r="N23" s="42"/>
    </row>
    <row r="24" spans="1:14" x14ac:dyDescent="0.25">
      <c r="A24" s="66" t="s">
        <v>85</v>
      </c>
      <c r="B24" s="99"/>
      <c r="C24" s="38"/>
      <c r="D24" s="39"/>
      <c r="E24" s="39"/>
      <c r="F24" s="39"/>
      <c r="G24" s="159"/>
      <c r="H24" s="213"/>
      <c r="I24" s="159"/>
      <c r="J24" s="160"/>
      <c r="K24" s="40"/>
      <c r="L24" s="41"/>
      <c r="M24" s="39"/>
      <c r="N24" s="42"/>
    </row>
    <row r="25" spans="1:14" x14ac:dyDescent="0.25">
      <c r="A25" s="66" t="s">
        <v>83</v>
      </c>
      <c r="B25" s="99"/>
      <c r="C25" s="38"/>
      <c r="D25" s="39"/>
      <c r="E25" s="39"/>
      <c r="F25" s="39"/>
      <c r="G25" s="159"/>
      <c r="H25" s="213"/>
      <c r="I25" s="159"/>
      <c r="J25" s="160"/>
      <c r="K25" s="40"/>
      <c r="L25" s="41"/>
      <c r="M25" s="39"/>
      <c r="N25" s="42"/>
    </row>
    <row r="26" spans="1:14" x14ac:dyDescent="0.25">
      <c r="A26" s="66" t="s">
        <v>84</v>
      </c>
      <c r="B26" s="100"/>
      <c r="C26" s="43"/>
      <c r="D26" s="44"/>
      <c r="E26" s="44"/>
      <c r="F26" s="44"/>
      <c r="G26" s="159"/>
      <c r="H26" s="213"/>
      <c r="I26" s="159"/>
      <c r="J26" s="160"/>
      <c r="K26" s="40"/>
      <c r="L26" s="41"/>
      <c r="M26" s="39"/>
      <c r="N26" s="42"/>
    </row>
    <row r="27" spans="1:14" ht="15.75" thickBot="1" x14ac:dyDescent="0.3">
      <c r="A27" s="67" t="s">
        <v>3</v>
      </c>
      <c r="B27" s="101">
        <f>SUM(B7:B22)</f>
        <v>0</v>
      </c>
      <c r="C27" s="37" t="s">
        <v>36</v>
      </c>
      <c r="D27" s="32">
        <f>SUM(D7:D22)</f>
        <v>0</v>
      </c>
      <c r="E27" s="32">
        <f>SUM(E7:E22)</f>
        <v>0</v>
      </c>
      <c r="F27" s="31">
        <f>SUMIF(F7:F22,"&lt;0",F7:F22)</f>
        <v>0</v>
      </c>
      <c r="G27" s="152">
        <f t="shared" ref="G27" si="6">SUMIF(G7:G22,"&lt;0",G7:G22)</f>
        <v>0</v>
      </c>
      <c r="H27" s="163"/>
      <c r="I27" s="152" t="s">
        <v>36</v>
      </c>
      <c r="J27" s="153"/>
      <c r="K27" s="51">
        <f>SUM(K7:K22)</f>
        <v>0</v>
      </c>
      <c r="L27" s="45">
        <f>SUM(L7:L22)</f>
        <v>0</v>
      </c>
      <c r="M27" s="46">
        <f>SUM(M7:M22)</f>
        <v>0</v>
      </c>
      <c r="N27" s="47">
        <f>SUM(N7:N22)</f>
        <v>0</v>
      </c>
    </row>
    <row r="28" spans="1:14" ht="15" customHeight="1" x14ac:dyDescent="0.25">
      <c r="A28" s="222" t="s">
        <v>89</v>
      </c>
      <c r="B28" s="223"/>
      <c r="C28" s="223"/>
      <c r="D28" s="86"/>
      <c r="E28" s="87"/>
      <c r="F28" s="227" t="s">
        <v>20</v>
      </c>
      <c r="G28" s="169"/>
      <c r="H28" s="169"/>
      <c r="I28" s="169"/>
      <c r="J28" s="170"/>
      <c r="K28" s="71"/>
      <c r="L28" s="71"/>
      <c r="M28" s="71"/>
      <c r="N28" s="71"/>
    </row>
    <row r="29" spans="1:14" ht="15" customHeight="1" x14ac:dyDescent="0.25">
      <c r="A29" s="90" t="s">
        <v>87</v>
      </c>
      <c r="B29" s="50"/>
      <c r="C29" s="50"/>
      <c r="D29" s="88"/>
      <c r="E29" s="89"/>
      <c r="F29" s="228"/>
      <c r="G29" s="171"/>
      <c r="H29" s="171"/>
      <c r="I29" s="171"/>
      <c r="J29" s="172"/>
      <c r="K29" s="71"/>
      <c r="L29" s="71"/>
      <c r="M29" s="71"/>
      <c r="N29" s="71"/>
    </row>
    <row r="30" spans="1:14" ht="57.6" customHeight="1" thickBot="1" x14ac:dyDescent="0.3">
      <c r="A30" s="225" t="s">
        <v>92</v>
      </c>
      <c r="B30" s="226"/>
      <c r="C30" s="226"/>
      <c r="D30" s="226"/>
      <c r="E30" s="230"/>
      <c r="F30" s="229"/>
      <c r="G30" s="173"/>
      <c r="H30" s="173"/>
      <c r="I30" s="173"/>
      <c r="J30" s="174"/>
      <c r="K30" s="71"/>
      <c r="L30" s="71"/>
      <c r="M30" s="71"/>
      <c r="N30" s="71"/>
    </row>
    <row r="31" spans="1:14" ht="30" x14ac:dyDescent="0.25">
      <c r="A31" s="21" t="s">
        <v>4</v>
      </c>
      <c r="B31" s="22" t="s">
        <v>5</v>
      </c>
      <c r="C31" s="22" t="s">
        <v>6</v>
      </c>
      <c r="D31" s="22" t="s">
        <v>7</v>
      </c>
      <c r="E31" s="22" t="s">
        <v>8</v>
      </c>
      <c r="F31" s="22" t="s">
        <v>9</v>
      </c>
      <c r="G31" s="22" t="s">
        <v>10</v>
      </c>
      <c r="H31" s="22" t="s">
        <v>11</v>
      </c>
      <c r="I31" s="22" t="s">
        <v>51</v>
      </c>
      <c r="J31" s="231"/>
      <c r="K31" s="71"/>
      <c r="L31" s="71"/>
      <c r="M31" s="71"/>
      <c r="N31" s="71"/>
    </row>
    <row r="32" spans="1:14" ht="22.5" customHeight="1" x14ac:dyDescent="0.25">
      <c r="A32" s="18">
        <v>2022</v>
      </c>
      <c r="B32" s="48"/>
      <c r="C32" s="48"/>
      <c r="D32" s="96">
        <f>IFERROR(C32/B32,0)</f>
        <v>0</v>
      </c>
      <c r="E32" s="48"/>
      <c r="F32" s="96">
        <f>IFERROR(E32/B32,0)</f>
        <v>0</v>
      </c>
      <c r="G32" s="48"/>
      <c r="H32" s="96">
        <f>IFERROR(G32/B32,0)</f>
        <v>0</v>
      </c>
      <c r="I32" s="96">
        <f>D32+F32+H32</f>
        <v>0</v>
      </c>
      <c r="J32" s="232"/>
      <c r="K32" s="71"/>
      <c r="L32" s="71"/>
      <c r="M32" s="71"/>
      <c r="N32" s="71"/>
    </row>
    <row r="33" spans="1:19" ht="22.5" customHeight="1" x14ac:dyDescent="0.25">
      <c r="A33" s="18">
        <v>2023</v>
      </c>
      <c r="B33" s="48"/>
      <c r="C33" s="48"/>
      <c r="D33" s="96">
        <f t="shared" ref="D33:D35" si="7">IFERROR(C33/B33,0)</f>
        <v>0</v>
      </c>
      <c r="E33" s="48"/>
      <c r="F33" s="96">
        <f>IFERROR(E33/B33,0)</f>
        <v>0</v>
      </c>
      <c r="G33" s="48"/>
      <c r="H33" s="96">
        <f>IFERROR(G33/B33,0)</f>
        <v>0</v>
      </c>
      <c r="I33" s="96">
        <f t="shared" ref="I33:I35" si="8">D33+F33+H33</f>
        <v>0</v>
      </c>
      <c r="J33" s="232"/>
      <c r="K33" s="71"/>
      <c r="L33" s="71"/>
      <c r="M33" s="71"/>
      <c r="N33" s="71"/>
    </row>
    <row r="34" spans="1:19" ht="22.5" customHeight="1" x14ac:dyDescent="0.25">
      <c r="A34" s="19">
        <v>2024</v>
      </c>
      <c r="B34" s="48"/>
      <c r="C34" s="48"/>
      <c r="D34" s="96">
        <f t="shared" si="7"/>
        <v>0</v>
      </c>
      <c r="E34" s="48"/>
      <c r="F34" s="96">
        <f>IFERROR(E34/B34,0)</f>
        <v>0</v>
      </c>
      <c r="G34" s="48"/>
      <c r="H34" s="96">
        <f t="shared" ref="H34:H35" si="9">IFERROR(G34/B34,0)</f>
        <v>0</v>
      </c>
      <c r="I34" s="96">
        <f t="shared" si="8"/>
        <v>0</v>
      </c>
      <c r="J34" s="232"/>
      <c r="K34" s="71"/>
      <c r="L34" s="71"/>
      <c r="M34" s="71"/>
      <c r="N34" s="71"/>
    </row>
    <row r="35" spans="1:19" ht="22.5" customHeight="1" thickBot="1" x14ac:dyDescent="0.3">
      <c r="A35" s="20" t="s">
        <v>81</v>
      </c>
      <c r="B35" s="48"/>
      <c r="C35" s="48"/>
      <c r="D35" s="96">
        <f t="shared" si="7"/>
        <v>0</v>
      </c>
      <c r="E35" s="48"/>
      <c r="F35" s="96">
        <f>IFERROR(E35/B35,0)</f>
        <v>0</v>
      </c>
      <c r="G35" s="48"/>
      <c r="H35" s="97">
        <f t="shared" si="9"/>
        <v>0</v>
      </c>
      <c r="I35" s="97">
        <f t="shared" si="8"/>
        <v>0</v>
      </c>
      <c r="J35" s="233"/>
      <c r="K35" s="71"/>
      <c r="L35" s="71"/>
      <c r="M35" s="71"/>
      <c r="N35" s="71"/>
    </row>
    <row r="36" spans="1:19" s="6" customFormat="1" ht="15.75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5"/>
      <c r="K36" s="71"/>
      <c r="L36" s="71"/>
      <c r="M36" s="71"/>
      <c r="N36" s="71"/>
      <c r="O36" s="71"/>
      <c r="P36" s="71"/>
      <c r="Q36" s="71"/>
      <c r="R36" s="71"/>
      <c r="S36" s="71"/>
    </row>
    <row r="37" spans="1:19" ht="15.75" customHeight="1" x14ac:dyDescent="0.25">
      <c r="A37" s="218" t="s">
        <v>12</v>
      </c>
      <c r="B37" s="224" t="s">
        <v>13</v>
      </c>
      <c r="C37" s="190"/>
      <c r="D37" s="190"/>
      <c r="E37" s="190"/>
      <c r="F37" s="190"/>
      <c r="G37" s="190"/>
      <c r="H37" s="190"/>
      <c r="I37" s="190"/>
      <c r="J37" s="191"/>
      <c r="K37" s="71"/>
      <c r="L37" s="71"/>
      <c r="M37" s="71"/>
      <c r="N37" s="71"/>
    </row>
    <row r="38" spans="1:19" ht="50.25" customHeight="1" thickBot="1" x14ac:dyDescent="0.3">
      <c r="A38" s="219"/>
      <c r="B38" s="220"/>
      <c r="C38" s="220"/>
      <c r="D38" s="220"/>
      <c r="E38" s="220"/>
      <c r="F38" s="220"/>
      <c r="G38" s="220"/>
      <c r="H38" s="220"/>
      <c r="I38" s="220"/>
      <c r="J38" s="221"/>
      <c r="K38" s="71"/>
      <c r="L38" s="71"/>
      <c r="M38" s="71"/>
      <c r="N38" s="71"/>
    </row>
    <row r="39" spans="1:19" s="6" customFormat="1" ht="15.75" thickBot="1" x14ac:dyDescent="0.3">
      <c r="A39" s="7"/>
      <c r="B39" s="4"/>
      <c r="C39" s="4"/>
      <c r="D39" s="4"/>
      <c r="E39" s="4"/>
      <c r="F39" s="4"/>
      <c r="G39" s="4"/>
      <c r="H39" s="4"/>
      <c r="I39" s="4"/>
      <c r="J39" s="4"/>
      <c r="K39" s="71"/>
      <c r="L39" s="71"/>
      <c r="M39" s="71"/>
      <c r="N39" s="71"/>
      <c r="O39" s="71"/>
      <c r="P39" s="71"/>
      <c r="Q39" s="71"/>
      <c r="R39" s="71"/>
      <c r="S39" s="71"/>
    </row>
    <row r="40" spans="1:19" s="145" customFormat="1" ht="60" customHeight="1" thickBot="1" x14ac:dyDescent="0.3">
      <c r="A40" s="147" t="s">
        <v>109</v>
      </c>
      <c r="B40" s="167"/>
      <c r="C40" s="167"/>
      <c r="D40" s="167"/>
      <c r="E40" s="167"/>
      <c r="F40" s="167"/>
      <c r="G40" s="167"/>
      <c r="H40" s="167"/>
      <c r="I40" s="167"/>
      <c r="J40" s="168"/>
      <c r="O40" s="71"/>
      <c r="P40" s="71"/>
      <c r="Q40" s="71"/>
    </row>
    <row r="41" spans="1:19" s="71" customFormat="1" x14ac:dyDescent="0.25">
      <c r="B41" s="80"/>
      <c r="C41" s="80"/>
      <c r="D41" s="80"/>
      <c r="E41" s="80"/>
      <c r="F41" s="80"/>
      <c r="G41" s="80"/>
      <c r="H41" s="80"/>
      <c r="I41" s="80"/>
      <c r="J41" s="80"/>
    </row>
    <row r="42" spans="1:19" s="71" customFormat="1" x14ac:dyDescent="0.25">
      <c r="A42" s="81"/>
      <c r="B42" s="82"/>
      <c r="C42" s="80"/>
      <c r="D42" s="80"/>
      <c r="E42" s="80"/>
      <c r="F42" s="80"/>
      <c r="G42" s="80"/>
      <c r="H42" s="80"/>
      <c r="I42" s="80"/>
      <c r="J42" s="80"/>
    </row>
    <row r="43" spans="1:19" s="71" customFormat="1" x14ac:dyDescent="0.25">
      <c r="A43" s="83"/>
      <c r="B43" s="82"/>
      <c r="C43" s="80"/>
      <c r="D43" s="80"/>
      <c r="E43" s="80"/>
      <c r="F43" s="80"/>
      <c r="G43" s="80"/>
      <c r="H43" s="80"/>
      <c r="I43" s="80"/>
      <c r="J43" s="80"/>
    </row>
    <row r="44" spans="1:19" s="71" customFormat="1" x14ac:dyDescent="0.25">
      <c r="A44" s="83"/>
      <c r="B44" s="82"/>
      <c r="C44" s="80"/>
      <c r="D44" s="80"/>
      <c r="E44" s="80"/>
      <c r="F44" s="80"/>
      <c r="G44" s="80"/>
      <c r="H44" s="80"/>
      <c r="I44" s="80"/>
      <c r="J44" s="80"/>
    </row>
    <row r="45" spans="1:19" s="71" customFormat="1" x14ac:dyDescent="0.25">
      <c r="A45" s="83"/>
      <c r="B45" s="82"/>
      <c r="C45" s="80"/>
      <c r="D45" s="80"/>
      <c r="E45" s="80"/>
      <c r="F45" s="80"/>
      <c r="G45" s="80"/>
      <c r="H45" s="80"/>
      <c r="I45" s="80"/>
      <c r="J45" s="80"/>
    </row>
    <row r="46" spans="1:19" s="71" customFormat="1" x14ac:dyDescent="0.25">
      <c r="A46" s="83"/>
      <c r="B46" s="82"/>
      <c r="C46" s="80"/>
      <c r="D46" s="80"/>
      <c r="E46" s="80"/>
      <c r="F46" s="80"/>
      <c r="G46" s="80"/>
      <c r="H46" s="80"/>
      <c r="I46" s="80"/>
      <c r="J46" s="80"/>
    </row>
    <row r="47" spans="1:19" s="71" customFormat="1" hidden="1" x14ac:dyDescent="0.25">
      <c r="A47" s="118"/>
      <c r="B47" s="82"/>
      <c r="C47" s="80"/>
      <c r="D47" s="80"/>
      <c r="E47" s="80"/>
      <c r="F47" s="80"/>
      <c r="G47" s="80"/>
      <c r="H47" s="80"/>
      <c r="I47" s="80"/>
      <c r="J47" s="80"/>
    </row>
    <row r="48" spans="1:19" s="71" customFormat="1" hidden="1" x14ac:dyDescent="0.25">
      <c r="A48" s="118"/>
      <c r="B48" s="82"/>
      <c r="C48" s="80"/>
      <c r="D48" s="80"/>
      <c r="E48" s="80"/>
      <c r="F48" s="80"/>
      <c r="G48" s="80"/>
      <c r="H48" s="80"/>
      <c r="I48" s="80"/>
      <c r="J48" s="80"/>
    </row>
    <row r="49" spans="1:10" s="71" customFormat="1" hidden="1" x14ac:dyDescent="0.25">
      <c r="A49" s="118"/>
      <c r="B49" s="82"/>
      <c r="C49" s="80"/>
      <c r="D49" s="80"/>
      <c r="E49" s="80"/>
      <c r="F49" s="80"/>
      <c r="G49" s="80"/>
      <c r="H49" s="80"/>
      <c r="I49" s="80"/>
      <c r="J49" s="80"/>
    </row>
    <row r="50" spans="1:10" s="71" customFormat="1" hidden="1" x14ac:dyDescent="0.25">
      <c r="A50" s="118"/>
      <c r="B50" s="82"/>
      <c r="C50" s="80"/>
      <c r="D50" s="80"/>
      <c r="E50" s="80"/>
      <c r="F50" s="80"/>
      <c r="G50" s="80"/>
      <c r="H50" s="80"/>
      <c r="I50" s="80"/>
      <c r="J50" s="80"/>
    </row>
    <row r="51" spans="1:10" s="71" customFormat="1" hidden="1" x14ac:dyDescent="0.25">
      <c r="A51" s="118"/>
      <c r="B51" s="82"/>
      <c r="C51" s="80"/>
      <c r="D51" s="80"/>
      <c r="E51" s="80"/>
      <c r="F51" s="80"/>
      <c r="G51" s="80"/>
      <c r="H51" s="80"/>
      <c r="I51" s="80"/>
      <c r="J51" s="80"/>
    </row>
    <row r="52" spans="1:10" s="71" customFormat="1" hidden="1" x14ac:dyDescent="0.25">
      <c r="A52" s="81"/>
      <c r="B52" s="82"/>
      <c r="C52" s="80"/>
      <c r="D52" s="80"/>
      <c r="E52" s="80"/>
      <c r="F52" s="80"/>
      <c r="G52" s="80"/>
      <c r="H52" s="80"/>
      <c r="I52" s="80"/>
      <c r="J52" s="80"/>
    </row>
    <row r="53" spans="1:10" s="71" customFormat="1" hidden="1" x14ac:dyDescent="0.25">
      <c r="A53" s="81"/>
      <c r="B53" s="82"/>
      <c r="C53" s="80"/>
      <c r="D53" s="80"/>
      <c r="E53" s="80"/>
      <c r="F53" s="80"/>
      <c r="G53" s="80"/>
      <c r="H53" s="80"/>
      <c r="I53" s="80"/>
      <c r="J53" s="80"/>
    </row>
    <row r="54" spans="1:10" s="71" customFormat="1" hidden="1" x14ac:dyDescent="0.25">
      <c r="A54" s="81"/>
      <c r="B54" s="82"/>
      <c r="C54" s="80"/>
      <c r="D54" s="80"/>
      <c r="E54" s="80"/>
      <c r="F54" s="80"/>
      <c r="G54" s="80"/>
      <c r="H54" s="80"/>
      <c r="I54" s="80"/>
      <c r="J54" s="80"/>
    </row>
    <row r="55" spans="1:10" s="71" customFormat="1" x14ac:dyDescent="0.25">
      <c r="B55" s="80"/>
      <c r="C55" s="80"/>
      <c r="D55" s="80"/>
      <c r="E55" s="80"/>
      <c r="F55" s="80"/>
      <c r="G55" s="80"/>
      <c r="H55" s="80"/>
      <c r="I55" s="80"/>
      <c r="J55" s="80"/>
    </row>
    <row r="56" spans="1:10" s="71" customFormat="1" x14ac:dyDescent="0.25">
      <c r="B56" s="80"/>
      <c r="C56" s="80"/>
      <c r="D56" s="80"/>
      <c r="E56" s="80"/>
      <c r="F56" s="80"/>
      <c r="G56" s="80"/>
      <c r="H56" s="80"/>
      <c r="I56" s="80"/>
      <c r="J56" s="80"/>
    </row>
    <row r="57" spans="1:10" s="71" customFormat="1" x14ac:dyDescent="0.25">
      <c r="B57" s="80"/>
      <c r="C57" s="80"/>
      <c r="D57" s="80"/>
      <c r="E57" s="80"/>
      <c r="F57" s="80"/>
      <c r="G57" s="80"/>
      <c r="H57" s="80"/>
      <c r="I57" s="80"/>
      <c r="J57" s="80"/>
    </row>
    <row r="58" spans="1:10" s="71" customFormat="1" x14ac:dyDescent="0.25">
      <c r="B58" s="80"/>
      <c r="C58" s="80"/>
      <c r="D58" s="80"/>
      <c r="E58" s="80"/>
      <c r="F58" s="80"/>
      <c r="G58" s="80"/>
      <c r="H58" s="80"/>
      <c r="I58" s="80"/>
      <c r="J58" s="80"/>
    </row>
    <row r="59" spans="1:10" s="71" customFormat="1" x14ac:dyDescent="0.25">
      <c r="B59" s="80"/>
      <c r="C59" s="80"/>
      <c r="D59" s="80"/>
      <c r="E59" s="80"/>
      <c r="F59" s="80"/>
      <c r="G59" s="80"/>
      <c r="H59" s="80"/>
      <c r="I59" s="80"/>
      <c r="J59" s="80"/>
    </row>
    <row r="60" spans="1:10" x14ac:dyDescent="0.25"/>
  </sheetData>
  <sheetProtection algorithmName="SHA-512" hashValue="cPjkBLrjej0H20/W1yfNqCYc9hX1Zgj4IBS3Ol65X6IeMuoGUe9qt8axLmkbzfOgW68OrefHYqskuwZj8WJT/g==" saltValue="9K02Pi0ccaUyZ+HF8MvrEQ==" spinCount="100000" sheet="1" objects="1" scenarios="1"/>
  <protectedRanges>
    <protectedRange sqref="A7:A22" name="Bereich1"/>
    <protectedRange sqref="A25" name="Bereich1_1_1_1"/>
  </protectedRanges>
  <mergeCells count="64">
    <mergeCell ref="N5:N6"/>
    <mergeCell ref="A1:N1"/>
    <mergeCell ref="B2:N2"/>
    <mergeCell ref="B3:N3"/>
    <mergeCell ref="A5:A6"/>
    <mergeCell ref="B5:B6"/>
    <mergeCell ref="C5:C6"/>
    <mergeCell ref="D5:F5"/>
    <mergeCell ref="K5:K6"/>
    <mergeCell ref="L5:L6"/>
    <mergeCell ref="M5:M6"/>
    <mergeCell ref="G5:H6"/>
    <mergeCell ref="I5:J6"/>
    <mergeCell ref="B4:N4"/>
    <mergeCell ref="B40:J40"/>
    <mergeCell ref="A28:C28"/>
    <mergeCell ref="F28:J30"/>
    <mergeCell ref="A30:E30"/>
    <mergeCell ref="A37:A38"/>
    <mergeCell ref="B37:J37"/>
    <mergeCell ref="B38:J38"/>
    <mergeCell ref="J31:J35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I18:J18"/>
    <mergeCell ref="G27:H27"/>
    <mergeCell ref="I27:J27"/>
    <mergeCell ref="G24:H24"/>
    <mergeCell ref="I24:J24"/>
    <mergeCell ref="G25:H25"/>
    <mergeCell ref="I25:J25"/>
    <mergeCell ref="G26:H26"/>
    <mergeCell ref="I26:J26"/>
    <mergeCell ref="G23:H23"/>
    <mergeCell ref="I23:J23"/>
    <mergeCell ref="G18:H18"/>
    <mergeCell ref="G19:H19"/>
    <mergeCell ref="I19:J19"/>
    <mergeCell ref="G20:H20"/>
    <mergeCell ref="I20:J20"/>
    <mergeCell ref="G21:H21"/>
    <mergeCell ref="I21:J21"/>
    <mergeCell ref="G22:H22"/>
    <mergeCell ref="I22:J22"/>
  </mergeCells>
  <conditionalFormatting sqref="I32:I35">
    <cfRule type="cellIs" dxfId="36" priority="7" operator="greaterThan">
      <formula>1</formula>
    </cfRule>
  </conditionalFormatting>
  <conditionalFormatting sqref="H32:H35">
    <cfRule type="cellIs" dxfId="35" priority="6" operator="greaterThan">
      <formula>1</formula>
    </cfRule>
  </conditionalFormatting>
  <conditionalFormatting sqref="I32:I35">
    <cfRule type="cellIs" dxfId="34" priority="5" operator="greaterThan">
      <formula>1</formula>
    </cfRule>
  </conditionalFormatting>
  <dataValidations count="2">
    <dataValidation type="list" allowBlank="1" showInputMessage="1" showErrorMessage="1" sqref="A7:A22" xr:uid="{00000000-0002-0000-0200-000000000000}">
      <formula1>"Ausstellung, Artist Lecture, Artist Talk"</formula1>
    </dataValidation>
    <dataValidation type="list" allowBlank="1" showInputMessage="1" showErrorMessage="1" sqref="C7:C22" xr:uid="{00000000-0002-0000-0200-000001000000}">
      <formula1>IF(A7="Ausstellung",Bildende,IF(A7="Artist Lecture",NULL,IF(A7="Artist Talk",NULL,"")))</formula1>
    </dataValidation>
  </dataValidations>
  <hyperlinks>
    <hyperlink ref="A29" r:id="rId1" display="Honorarempfehlungen Bildende Kunst" xr:uid="{00000000-0004-0000-0200-000000000000}"/>
  </hyperlinks>
  <pageMargins left="0.70866141732283472" right="0.70866141732283472" top="0.78740157480314965" bottom="1.8897637795275593" header="0.31496062992125984" footer="0.31496062992125984"/>
  <pageSetup paperSize="9" scale="53" fitToHeight="2" orientation="landscape" r:id="rId2"/>
  <headerFooter>
    <oddHeader>&amp;CDatenblatt "Gerechte Entlohnung 2025" Abteilung 9 Land Steiermark
Honorare Bildende Kunst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B8FB7FC3-4026-407B-9EF4-80C76C376CEA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F7:F22</xm:sqref>
        </x14:conditionalFormatting>
        <x14:conditionalFormatting xmlns:xm="http://schemas.microsoft.com/office/excel/2006/main">
          <x14:cfRule type="containsText" priority="4" operator="containsText" id="{BEEDF949-CBC3-4EDA-8C3A-EDD54F9F27F5}">
            <xm:f>NOT(ISERROR(SEARCH("-",G7)))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3" operator="containsText" id="{0FB632D8-9CE7-45E0-8210-84498FC90155}">
            <xm:f>NOT(ISERROR(SEARCH("-",G8)))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ontainsText" priority="2" operator="containsText" id="{9C319027-8F49-4A54-B1AB-6E5663EFE703}">
            <xm:f>NOT(ISERROR(SEARCH("-",G9)))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containsText" priority="1" operator="containsText" id="{62221951-92E8-4F27-83B6-DB90FE1AEA22}">
            <xm:f>NOT(ISERROR(SEARCH("-",G10)))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G10:G22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U63"/>
  <sheetViews>
    <sheetView showGridLines="0" topLeftCell="A10" zoomScale="85" zoomScaleNormal="85" zoomScalePageLayoutView="85" workbookViewId="0">
      <selection activeCell="A40" sqref="A40"/>
    </sheetView>
  </sheetViews>
  <sheetFormatPr baseColWidth="10" defaultColWidth="0" defaultRowHeight="15" zeroHeight="1" x14ac:dyDescent="0.25"/>
  <cols>
    <col min="1" max="1" width="61.7109375" style="1" customWidth="1"/>
    <col min="2" max="2" width="29.42578125" style="8" customWidth="1"/>
    <col min="3" max="5" width="18.28515625" style="8" customWidth="1"/>
    <col min="6" max="6" width="19" style="8" customWidth="1"/>
    <col min="7" max="7" width="18.28515625" style="8" customWidth="1"/>
    <col min="8" max="8" width="20.85546875" style="8" customWidth="1"/>
    <col min="9" max="11" width="18.28515625" style="8" customWidth="1"/>
    <col min="12" max="12" width="5.42578125" style="8" customWidth="1"/>
    <col min="13" max="16" width="15.7109375" style="1" hidden="1" customWidth="1"/>
    <col min="17" max="19" width="11.5703125" style="71" customWidth="1"/>
    <col min="20" max="21" width="11.5703125" style="71" hidden="1" customWidth="1"/>
    <col min="22" max="16384" width="11.5703125" style="1" hidden="1"/>
  </cols>
  <sheetData>
    <row r="1" spans="1:18" ht="70.5" customHeight="1" thickBot="1" x14ac:dyDescent="0.3">
      <c r="A1" s="194" t="s">
        <v>112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6"/>
      <c r="Q1" s="70"/>
    </row>
    <row r="2" spans="1:18" ht="28.9" customHeight="1" x14ac:dyDescent="0.25">
      <c r="A2" s="1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72"/>
      <c r="R2" s="73"/>
    </row>
    <row r="3" spans="1:18" ht="28.9" customHeight="1" thickBot="1" x14ac:dyDescent="0.3">
      <c r="A3" s="69" t="s">
        <v>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8"/>
      <c r="Q3" s="74"/>
      <c r="R3" s="75"/>
    </row>
    <row r="4" spans="1:18" ht="31.5" customHeight="1" thickBot="1" x14ac:dyDescent="0.3">
      <c r="A4" s="2"/>
      <c r="B4" s="154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70"/>
    </row>
    <row r="5" spans="1:18" ht="15" customHeight="1" x14ac:dyDescent="0.25">
      <c r="A5" s="185" t="s">
        <v>74</v>
      </c>
      <c r="B5" s="199" t="s">
        <v>73</v>
      </c>
      <c r="C5" s="199" t="s">
        <v>75</v>
      </c>
      <c r="D5" s="199" t="s">
        <v>53</v>
      </c>
      <c r="E5" s="199" t="s">
        <v>79</v>
      </c>
      <c r="F5" s="201" t="s">
        <v>15</v>
      </c>
      <c r="G5" s="202"/>
      <c r="H5" s="214"/>
      <c r="I5" s="179" t="s">
        <v>99</v>
      </c>
      <c r="J5" s="215"/>
      <c r="K5" s="179" t="s">
        <v>25</v>
      </c>
      <c r="L5" s="180"/>
      <c r="M5" s="205" t="s">
        <v>23</v>
      </c>
      <c r="N5" s="203" t="s">
        <v>24</v>
      </c>
      <c r="O5" s="203" t="s">
        <v>22</v>
      </c>
      <c r="P5" s="235" t="s">
        <v>21</v>
      </c>
      <c r="Q5" s="70"/>
    </row>
    <row r="6" spans="1:18" ht="75" customHeight="1" x14ac:dyDescent="0.25">
      <c r="A6" s="186"/>
      <c r="B6" s="200"/>
      <c r="C6" s="200"/>
      <c r="D6" s="200"/>
      <c r="E6" s="200"/>
      <c r="F6" s="17" t="s">
        <v>102</v>
      </c>
      <c r="G6" s="17" t="s">
        <v>101</v>
      </c>
      <c r="H6" s="36" t="s">
        <v>108</v>
      </c>
      <c r="I6" s="216"/>
      <c r="J6" s="217"/>
      <c r="K6" s="181"/>
      <c r="L6" s="182"/>
      <c r="M6" s="206"/>
      <c r="N6" s="204"/>
      <c r="O6" s="204"/>
      <c r="P6" s="236"/>
      <c r="Q6" s="70"/>
    </row>
    <row r="7" spans="1:18" ht="22.7" customHeight="1" x14ac:dyDescent="0.25">
      <c r="A7" s="84"/>
      <c r="B7" s="98"/>
      <c r="C7" s="98"/>
      <c r="D7" s="98"/>
      <c r="E7" s="26"/>
      <c r="F7" s="30"/>
      <c r="G7" s="91">
        <f>IF(B7="ohne Vorstellung",(E7*33.5),IF(B7="mit 1 oder 2 Vorstellungen",390,IF(B7="ab 3 Vorstellungen",223,0)))</f>
        <v>0</v>
      </c>
      <c r="H7" s="92">
        <f>IF(B7="ohne Vorstellung",(F7-G7)*D7,IF(B7="mit 1 oder 2 Vorstellungen",(F7-G7)*(D7*C7),IF(B7="ab 3 Vorstellungen",(F7-G7)*(D7*C7),0)))</f>
        <v>0</v>
      </c>
      <c r="I7" s="164">
        <f>H7*0.243</f>
        <v>0</v>
      </c>
      <c r="J7" s="165"/>
      <c r="K7" s="157">
        <f>IFERROR((F7-G7)/F7,0)</f>
        <v>0</v>
      </c>
      <c r="L7" s="234"/>
      <c r="M7" s="33"/>
      <c r="N7" s="93">
        <f t="shared" ref="N7:N22" si="0">IFERROR(M7/I7,0)</f>
        <v>0</v>
      </c>
      <c r="O7" s="33"/>
      <c r="P7" s="150">
        <f t="shared" ref="P7:P22" si="1">IFERROR(O7/J7,0)</f>
        <v>0</v>
      </c>
      <c r="Q7" s="70"/>
    </row>
    <row r="8" spans="1:18" ht="22.7" customHeight="1" x14ac:dyDescent="0.25">
      <c r="A8" s="84"/>
      <c r="B8" s="98"/>
      <c r="C8" s="98"/>
      <c r="D8" s="98"/>
      <c r="E8" s="26"/>
      <c r="F8" s="30"/>
      <c r="G8" s="91">
        <f t="shared" ref="G8:G22" si="2">IF(B8="ohne Vorstellung",(E8*33.5),IF(B8="mit 1 oder 2 Vorstellungen",390,IF(B8="ab 3 Vorstellungen",223,0)))</f>
        <v>0</v>
      </c>
      <c r="H8" s="92">
        <f t="shared" ref="H8:H22" si="3">IF(B8="ohne Vorstellung",(F8-G8)*D8,IF(B8="mit 1 oder 2 Vorstellungen",(F8-G8)*(D8*C8),IF(B8="ab 3 Vorstellungen",(F8-G8)*(D8*C8),0)))</f>
        <v>0</v>
      </c>
      <c r="I8" s="164">
        <f t="shared" ref="I8:I22" si="4">H8*0.243</f>
        <v>0</v>
      </c>
      <c r="J8" s="165"/>
      <c r="K8" s="157">
        <f t="shared" ref="K8:K22" si="5">IFERROR((F8-G8)/F8,0)</f>
        <v>0</v>
      </c>
      <c r="L8" s="234"/>
      <c r="M8" s="33"/>
      <c r="N8" s="93">
        <f t="shared" si="0"/>
        <v>0</v>
      </c>
      <c r="O8" s="33"/>
      <c r="P8" s="150">
        <f t="shared" si="1"/>
        <v>0</v>
      </c>
      <c r="Q8" s="70"/>
    </row>
    <row r="9" spans="1:18" ht="22.7" customHeight="1" x14ac:dyDescent="0.25">
      <c r="A9" s="84"/>
      <c r="B9" s="98"/>
      <c r="C9" s="98"/>
      <c r="D9" s="98"/>
      <c r="E9" s="26"/>
      <c r="F9" s="30"/>
      <c r="G9" s="91">
        <f t="shared" si="2"/>
        <v>0</v>
      </c>
      <c r="H9" s="92">
        <f t="shared" si="3"/>
        <v>0</v>
      </c>
      <c r="I9" s="164">
        <f t="shared" si="4"/>
        <v>0</v>
      </c>
      <c r="J9" s="165"/>
      <c r="K9" s="157">
        <f t="shared" si="5"/>
        <v>0</v>
      </c>
      <c r="L9" s="234"/>
      <c r="M9" s="33"/>
      <c r="N9" s="93">
        <f t="shared" si="0"/>
        <v>0</v>
      </c>
      <c r="O9" s="33"/>
      <c r="P9" s="150">
        <f t="shared" si="1"/>
        <v>0</v>
      </c>
      <c r="Q9" s="70"/>
    </row>
    <row r="10" spans="1:18" ht="22.7" customHeight="1" x14ac:dyDescent="0.25">
      <c r="A10" s="84"/>
      <c r="B10" s="98"/>
      <c r="C10" s="98"/>
      <c r="D10" s="98"/>
      <c r="E10" s="26"/>
      <c r="F10" s="30"/>
      <c r="G10" s="91">
        <f t="shared" si="2"/>
        <v>0</v>
      </c>
      <c r="H10" s="92">
        <f t="shared" si="3"/>
        <v>0</v>
      </c>
      <c r="I10" s="164">
        <f t="shared" si="4"/>
        <v>0</v>
      </c>
      <c r="J10" s="165"/>
      <c r="K10" s="157">
        <f t="shared" si="5"/>
        <v>0</v>
      </c>
      <c r="L10" s="234"/>
      <c r="M10" s="33"/>
      <c r="N10" s="93">
        <f t="shared" si="0"/>
        <v>0</v>
      </c>
      <c r="O10" s="33"/>
      <c r="P10" s="150">
        <f t="shared" si="1"/>
        <v>0</v>
      </c>
      <c r="Q10" s="70"/>
    </row>
    <row r="11" spans="1:18" ht="22.7" customHeight="1" x14ac:dyDescent="0.25">
      <c r="A11" s="84"/>
      <c r="B11" s="98"/>
      <c r="C11" s="98"/>
      <c r="D11" s="98"/>
      <c r="E11" s="26"/>
      <c r="F11" s="30"/>
      <c r="G11" s="91">
        <f t="shared" si="2"/>
        <v>0</v>
      </c>
      <c r="H11" s="92">
        <f t="shared" si="3"/>
        <v>0</v>
      </c>
      <c r="I11" s="164">
        <f t="shared" si="4"/>
        <v>0</v>
      </c>
      <c r="J11" s="165"/>
      <c r="K11" s="157">
        <f t="shared" si="5"/>
        <v>0</v>
      </c>
      <c r="L11" s="234"/>
      <c r="M11" s="33"/>
      <c r="N11" s="93">
        <f t="shared" si="0"/>
        <v>0</v>
      </c>
      <c r="O11" s="33"/>
      <c r="P11" s="150">
        <f t="shared" si="1"/>
        <v>0</v>
      </c>
      <c r="Q11" s="70"/>
    </row>
    <row r="12" spans="1:18" ht="22.7" customHeight="1" x14ac:dyDescent="0.25">
      <c r="A12" s="84"/>
      <c r="B12" s="98"/>
      <c r="C12" s="98"/>
      <c r="D12" s="98"/>
      <c r="E12" s="26"/>
      <c r="F12" s="30"/>
      <c r="G12" s="91">
        <f t="shared" si="2"/>
        <v>0</v>
      </c>
      <c r="H12" s="92">
        <f t="shared" si="3"/>
        <v>0</v>
      </c>
      <c r="I12" s="164">
        <f t="shared" si="4"/>
        <v>0</v>
      </c>
      <c r="J12" s="165"/>
      <c r="K12" s="157">
        <f t="shared" si="5"/>
        <v>0</v>
      </c>
      <c r="L12" s="234"/>
      <c r="M12" s="33"/>
      <c r="N12" s="93">
        <f t="shared" si="0"/>
        <v>0</v>
      </c>
      <c r="O12" s="33"/>
      <c r="P12" s="150">
        <f t="shared" si="1"/>
        <v>0</v>
      </c>
      <c r="Q12" s="70"/>
    </row>
    <row r="13" spans="1:18" ht="22.7" customHeight="1" x14ac:dyDescent="0.25">
      <c r="A13" s="84"/>
      <c r="B13" s="98"/>
      <c r="C13" s="98"/>
      <c r="D13" s="98"/>
      <c r="E13" s="26"/>
      <c r="F13" s="30"/>
      <c r="G13" s="91">
        <f t="shared" si="2"/>
        <v>0</v>
      </c>
      <c r="H13" s="92">
        <f t="shared" si="3"/>
        <v>0</v>
      </c>
      <c r="I13" s="164">
        <f t="shared" si="4"/>
        <v>0</v>
      </c>
      <c r="J13" s="165"/>
      <c r="K13" s="157">
        <f t="shared" si="5"/>
        <v>0</v>
      </c>
      <c r="L13" s="234"/>
      <c r="M13" s="33"/>
      <c r="N13" s="93">
        <f t="shared" si="0"/>
        <v>0</v>
      </c>
      <c r="O13" s="33"/>
      <c r="P13" s="150">
        <f t="shared" si="1"/>
        <v>0</v>
      </c>
      <c r="Q13" s="70"/>
    </row>
    <row r="14" spans="1:18" ht="22.7" customHeight="1" x14ac:dyDescent="0.25">
      <c r="A14" s="84"/>
      <c r="B14" s="98"/>
      <c r="C14" s="98"/>
      <c r="D14" s="98"/>
      <c r="E14" s="26"/>
      <c r="F14" s="30"/>
      <c r="G14" s="91">
        <f t="shared" si="2"/>
        <v>0</v>
      </c>
      <c r="H14" s="92">
        <f t="shared" si="3"/>
        <v>0</v>
      </c>
      <c r="I14" s="164">
        <f t="shared" si="4"/>
        <v>0</v>
      </c>
      <c r="J14" s="165"/>
      <c r="K14" s="157">
        <f t="shared" si="5"/>
        <v>0</v>
      </c>
      <c r="L14" s="234"/>
      <c r="M14" s="33"/>
      <c r="N14" s="93">
        <f t="shared" si="0"/>
        <v>0</v>
      </c>
      <c r="O14" s="33"/>
      <c r="P14" s="150">
        <f t="shared" si="1"/>
        <v>0</v>
      </c>
      <c r="Q14" s="70"/>
    </row>
    <row r="15" spans="1:18" ht="22.7" customHeight="1" x14ac:dyDescent="0.25">
      <c r="A15" s="84"/>
      <c r="B15" s="98"/>
      <c r="C15" s="98"/>
      <c r="D15" s="98"/>
      <c r="E15" s="26"/>
      <c r="F15" s="30"/>
      <c r="G15" s="91">
        <f t="shared" si="2"/>
        <v>0</v>
      </c>
      <c r="H15" s="92">
        <f t="shared" si="3"/>
        <v>0</v>
      </c>
      <c r="I15" s="164">
        <f t="shared" si="4"/>
        <v>0</v>
      </c>
      <c r="J15" s="165"/>
      <c r="K15" s="157">
        <f t="shared" si="5"/>
        <v>0</v>
      </c>
      <c r="L15" s="234"/>
      <c r="M15" s="33"/>
      <c r="N15" s="93">
        <f t="shared" si="0"/>
        <v>0</v>
      </c>
      <c r="O15" s="33"/>
      <c r="P15" s="150">
        <f t="shared" si="1"/>
        <v>0</v>
      </c>
      <c r="Q15" s="70"/>
    </row>
    <row r="16" spans="1:18" ht="22.7" customHeight="1" x14ac:dyDescent="0.25">
      <c r="A16" s="84"/>
      <c r="B16" s="98"/>
      <c r="C16" s="98"/>
      <c r="D16" s="98"/>
      <c r="E16" s="26"/>
      <c r="F16" s="30"/>
      <c r="G16" s="91">
        <f t="shared" si="2"/>
        <v>0</v>
      </c>
      <c r="H16" s="92">
        <f t="shared" si="3"/>
        <v>0</v>
      </c>
      <c r="I16" s="164">
        <f t="shared" si="4"/>
        <v>0</v>
      </c>
      <c r="J16" s="165"/>
      <c r="K16" s="157">
        <f t="shared" si="5"/>
        <v>0</v>
      </c>
      <c r="L16" s="234"/>
      <c r="M16" s="33"/>
      <c r="N16" s="93">
        <f t="shared" si="0"/>
        <v>0</v>
      </c>
      <c r="O16" s="33"/>
      <c r="P16" s="150">
        <f t="shared" si="1"/>
        <v>0</v>
      </c>
      <c r="Q16" s="70"/>
    </row>
    <row r="17" spans="1:21" ht="22.7" customHeight="1" x14ac:dyDescent="0.25">
      <c r="A17" s="84"/>
      <c r="B17" s="98"/>
      <c r="C17" s="98"/>
      <c r="D17" s="98"/>
      <c r="E17" s="26"/>
      <c r="F17" s="30"/>
      <c r="G17" s="91">
        <f t="shared" si="2"/>
        <v>0</v>
      </c>
      <c r="H17" s="92">
        <f t="shared" si="3"/>
        <v>0</v>
      </c>
      <c r="I17" s="164">
        <f t="shared" si="4"/>
        <v>0</v>
      </c>
      <c r="J17" s="165"/>
      <c r="K17" s="157">
        <f t="shared" si="5"/>
        <v>0</v>
      </c>
      <c r="L17" s="234"/>
      <c r="M17" s="33"/>
      <c r="N17" s="93">
        <f t="shared" si="0"/>
        <v>0</v>
      </c>
      <c r="O17" s="33"/>
      <c r="P17" s="150">
        <f t="shared" si="1"/>
        <v>0</v>
      </c>
      <c r="Q17" s="70"/>
    </row>
    <row r="18" spans="1:21" ht="22.7" customHeight="1" x14ac:dyDescent="0.25">
      <c r="A18" s="84"/>
      <c r="B18" s="98"/>
      <c r="C18" s="98"/>
      <c r="D18" s="98"/>
      <c r="E18" s="26"/>
      <c r="F18" s="30"/>
      <c r="G18" s="91">
        <f t="shared" si="2"/>
        <v>0</v>
      </c>
      <c r="H18" s="92">
        <f t="shared" si="3"/>
        <v>0</v>
      </c>
      <c r="I18" s="164">
        <f t="shared" si="4"/>
        <v>0</v>
      </c>
      <c r="J18" s="165"/>
      <c r="K18" s="157">
        <f t="shared" si="5"/>
        <v>0</v>
      </c>
      <c r="L18" s="234"/>
      <c r="M18" s="33"/>
      <c r="N18" s="93">
        <f t="shared" si="0"/>
        <v>0</v>
      </c>
      <c r="O18" s="33"/>
      <c r="P18" s="150">
        <f t="shared" si="1"/>
        <v>0</v>
      </c>
      <c r="Q18" s="70"/>
    </row>
    <row r="19" spans="1:21" ht="22.7" customHeight="1" x14ac:dyDescent="0.25">
      <c r="A19" s="84"/>
      <c r="B19" s="98"/>
      <c r="C19" s="98"/>
      <c r="D19" s="98"/>
      <c r="E19" s="26"/>
      <c r="F19" s="30"/>
      <c r="G19" s="91">
        <f t="shared" si="2"/>
        <v>0</v>
      </c>
      <c r="H19" s="92">
        <f t="shared" si="3"/>
        <v>0</v>
      </c>
      <c r="I19" s="164">
        <f t="shared" si="4"/>
        <v>0</v>
      </c>
      <c r="J19" s="165"/>
      <c r="K19" s="157">
        <f t="shared" si="5"/>
        <v>0</v>
      </c>
      <c r="L19" s="234"/>
      <c r="M19" s="33"/>
      <c r="N19" s="93">
        <f t="shared" si="0"/>
        <v>0</v>
      </c>
      <c r="O19" s="33"/>
      <c r="P19" s="150">
        <f t="shared" si="1"/>
        <v>0</v>
      </c>
      <c r="Q19" s="70"/>
    </row>
    <row r="20" spans="1:21" ht="22.7" customHeight="1" x14ac:dyDescent="0.25">
      <c r="A20" s="84"/>
      <c r="B20" s="98"/>
      <c r="C20" s="98"/>
      <c r="D20" s="98"/>
      <c r="E20" s="26"/>
      <c r="F20" s="30"/>
      <c r="G20" s="91">
        <f t="shared" si="2"/>
        <v>0</v>
      </c>
      <c r="H20" s="92">
        <f t="shared" si="3"/>
        <v>0</v>
      </c>
      <c r="I20" s="164">
        <f t="shared" si="4"/>
        <v>0</v>
      </c>
      <c r="J20" s="165"/>
      <c r="K20" s="157">
        <f t="shared" si="5"/>
        <v>0</v>
      </c>
      <c r="L20" s="234"/>
      <c r="M20" s="33"/>
      <c r="N20" s="93">
        <f t="shared" si="0"/>
        <v>0</v>
      </c>
      <c r="O20" s="33"/>
      <c r="P20" s="150">
        <f t="shared" si="1"/>
        <v>0</v>
      </c>
      <c r="Q20" s="70"/>
    </row>
    <row r="21" spans="1:21" ht="22.7" customHeight="1" x14ac:dyDescent="0.25">
      <c r="A21" s="84"/>
      <c r="B21" s="98"/>
      <c r="C21" s="98"/>
      <c r="D21" s="98"/>
      <c r="E21" s="26"/>
      <c r="F21" s="30"/>
      <c r="G21" s="91">
        <f t="shared" si="2"/>
        <v>0</v>
      </c>
      <c r="H21" s="92">
        <f t="shared" si="3"/>
        <v>0</v>
      </c>
      <c r="I21" s="164">
        <f t="shared" si="4"/>
        <v>0</v>
      </c>
      <c r="J21" s="165"/>
      <c r="K21" s="157">
        <f t="shared" si="5"/>
        <v>0</v>
      </c>
      <c r="L21" s="234"/>
      <c r="M21" s="33"/>
      <c r="N21" s="93">
        <f t="shared" si="0"/>
        <v>0</v>
      </c>
      <c r="O21" s="33"/>
      <c r="P21" s="150">
        <f t="shared" si="1"/>
        <v>0</v>
      </c>
      <c r="Q21" s="70"/>
    </row>
    <row r="22" spans="1:21" ht="22.7" customHeight="1" x14ac:dyDescent="0.25">
      <c r="A22" s="84"/>
      <c r="B22" s="98"/>
      <c r="C22" s="98"/>
      <c r="D22" s="98"/>
      <c r="E22" s="26"/>
      <c r="F22" s="30"/>
      <c r="G22" s="91">
        <f t="shared" si="2"/>
        <v>0</v>
      </c>
      <c r="H22" s="92">
        <f t="shared" si="3"/>
        <v>0</v>
      </c>
      <c r="I22" s="164">
        <f t="shared" si="4"/>
        <v>0</v>
      </c>
      <c r="J22" s="165"/>
      <c r="K22" s="157">
        <f t="shared" si="5"/>
        <v>0</v>
      </c>
      <c r="L22" s="234"/>
      <c r="M22" s="33"/>
      <c r="N22" s="93">
        <f t="shared" si="0"/>
        <v>0</v>
      </c>
      <c r="O22" s="33"/>
      <c r="P22" s="150">
        <f t="shared" si="1"/>
        <v>0</v>
      </c>
      <c r="Q22" s="70"/>
    </row>
    <row r="23" spans="1:21" x14ac:dyDescent="0.25">
      <c r="A23" s="66" t="s">
        <v>82</v>
      </c>
      <c r="B23" s="99"/>
      <c r="C23" s="99"/>
      <c r="D23" s="99"/>
      <c r="E23" s="38"/>
      <c r="F23" s="39"/>
      <c r="G23" s="39"/>
      <c r="H23" s="39"/>
      <c r="I23" s="159"/>
      <c r="J23" s="213"/>
      <c r="K23" s="159"/>
      <c r="L23" s="213"/>
      <c r="M23" s="40"/>
      <c r="N23" s="41"/>
      <c r="O23" s="39"/>
      <c r="P23" s="148"/>
      <c r="Q23" s="70"/>
    </row>
    <row r="24" spans="1:21" x14ac:dyDescent="0.25">
      <c r="A24" s="66" t="s">
        <v>85</v>
      </c>
      <c r="B24" s="99"/>
      <c r="C24" s="38"/>
      <c r="D24" s="39"/>
      <c r="E24" s="39"/>
      <c r="F24" s="39"/>
      <c r="G24" s="39"/>
      <c r="H24" s="39"/>
      <c r="I24" s="159"/>
      <c r="J24" s="213"/>
      <c r="K24" s="159"/>
      <c r="L24" s="213"/>
      <c r="M24" s="39"/>
      <c r="N24" s="42"/>
      <c r="O24" s="71"/>
      <c r="P24" s="71"/>
      <c r="Q24" s="70"/>
      <c r="T24" s="1"/>
      <c r="U24" s="1"/>
    </row>
    <row r="25" spans="1:21" x14ac:dyDescent="0.25">
      <c r="A25" s="66" t="s">
        <v>83</v>
      </c>
      <c r="B25" s="99"/>
      <c r="C25" s="99"/>
      <c r="D25" s="99"/>
      <c r="E25" s="38"/>
      <c r="F25" s="39"/>
      <c r="G25" s="39"/>
      <c r="H25" s="39"/>
      <c r="I25" s="159"/>
      <c r="J25" s="213"/>
      <c r="K25" s="159"/>
      <c r="L25" s="213"/>
      <c r="M25" s="40"/>
      <c r="N25" s="41"/>
      <c r="O25" s="39"/>
      <c r="P25" s="148"/>
      <c r="Q25" s="70"/>
    </row>
    <row r="26" spans="1:21" x14ac:dyDescent="0.25">
      <c r="A26" s="66" t="s">
        <v>84</v>
      </c>
      <c r="B26" s="100"/>
      <c r="C26" s="100"/>
      <c r="D26" s="100"/>
      <c r="E26" s="43"/>
      <c r="F26" s="44"/>
      <c r="G26" s="44"/>
      <c r="H26" s="44"/>
      <c r="I26" s="159"/>
      <c r="J26" s="213"/>
      <c r="K26" s="159"/>
      <c r="L26" s="213"/>
      <c r="M26" s="40"/>
      <c r="N26" s="41"/>
      <c r="O26" s="39"/>
      <c r="P26" s="148"/>
      <c r="Q26" s="70"/>
    </row>
    <row r="27" spans="1:21" ht="15.75" thickBot="1" x14ac:dyDescent="0.3">
      <c r="A27" s="67" t="s">
        <v>3</v>
      </c>
      <c r="B27" s="37" t="s">
        <v>36</v>
      </c>
      <c r="C27" s="144">
        <f>SUM(C7:C22)</f>
        <v>0</v>
      </c>
      <c r="D27" s="101">
        <f>SUM(D7:D22)</f>
        <v>0</v>
      </c>
      <c r="E27" s="102">
        <f>SUM(E7:E22)</f>
        <v>0</v>
      </c>
      <c r="F27" s="32">
        <f>SUM(F7:F22)</f>
        <v>0</v>
      </c>
      <c r="G27" s="32">
        <f>SUM(G7:G22)</f>
        <v>0</v>
      </c>
      <c r="H27" s="31">
        <f>SUMIF(H7:H22,"&lt;0",H7:H22)</f>
        <v>0</v>
      </c>
      <c r="I27" s="152">
        <f t="shared" ref="I27" si="6">SUMIF(I7:I22,"&lt;0",I7:I22)</f>
        <v>0</v>
      </c>
      <c r="J27" s="163"/>
      <c r="K27" s="152" t="s">
        <v>36</v>
      </c>
      <c r="L27" s="163"/>
      <c r="M27" s="51">
        <f t="shared" ref="M27:P27" si="7">SUM(M7:M22)</f>
        <v>0</v>
      </c>
      <c r="N27" s="45">
        <f t="shared" si="7"/>
        <v>0</v>
      </c>
      <c r="O27" s="46">
        <f t="shared" si="7"/>
        <v>0</v>
      </c>
      <c r="P27" s="151">
        <f t="shared" si="7"/>
        <v>0</v>
      </c>
      <c r="Q27" s="70"/>
    </row>
    <row r="28" spans="1:21" ht="15" customHeight="1" x14ac:dyDescent="0.25">
      <c r="A28" s="222" t="s">
        <v>89</v>
      </c>
      <c r="B28" s="223"/>
      <c r="C28" s="223"/>
      <c r="D28" s="223"/>
      <c r="E28" s="223"/>
      <c r="F28" s="86"/>
      <c r="G28" s="87"/>
      <c r="H28" s="227" t="s">
        <v>20</v>
      </c>
      <c r="I28" s="169"/>
      <c r="J28" s="169"/>
      <c r="K28" s="169"/>
      <c r="L28" s="170"/>
      <c r="M28" s="71"/>
      <c r="N28" s="71"/>
      <c r="O28" s="71"/>
      <c r="P28" s="71"/>
    </row>
    <row r="29" spans="1:21" ht="15" customHeight="1" x14ac:dyDescent="0.25">
      <c r="A29" s="90" t="s">
        <v>67</v>
      </c>
      <c r="B29" s="50"/>
      <c r="C29" s="50"/>
      <c r="D29" s="50"/>
      <c r="E29" s="50"/>
      <c r="F29" s="88"/>
      <c r="G29" s="89"/>
      <c r="H29" s="228"/>
      <c r="I29" s="171"/>
      <c r="J29" s="171"/>
      <c r="K29" s="171"/>
      <c r="L29" s="172"/>
      <c r="M29" s="71"/>
      <c r="N29" s="71"/>
      <c r="O29" s="71"/>
      <c r="P29" s="71"/>
    </row>
    <row r="30" spans="1:21" ht="57.6" customHeight="1" thickBot="1" x14ac:dyDescent="0.3">
      <c r="A30" s="225" t="s">
        <v>93</v>
      </c>
      <c r="B30" s="226"/>
      <c r="C30" s="226"/>
      <c r="D30" s="226"/>
      <c r="E30" s="226"/>
      <c r="F30" s="226"/>
      <c r="G30" s="230"/>
      <c r="H30" s="229"/>
      <c r="I30" s="173"/>
      <c r="J30" s="173"/>
      <c r="K30" s="173"/>
      <c r="L30" s="174"/>
      <c r="M30" s="71"/>
      <c r="N30" s="71"/>
      <c r="O30" s="71"/>
      <c r="P30" s="71"/>
    </row>
    <row r="31" spans="1:21" ht="30" x14ac:dyDescent="0.25">
      <c r="A31" s="21" t="s">
        <v>4</v>
      </c>
      <c r="B31" s="22" t="s">
        <v>5</v>
      </c>
      <c r="C31" s="22" t="s">
        <v>6</v>
      </c>
      <c r="D31" s="22" t="s">
        <v>7</v>
      </c>
      <c r="E31" s="22" t="s">
        <v>8</v>
      </c>
      <c r="F31" s="22" t="s">
        <v>9</v>
      </c>
      <c r="G31" s="22" t="s">
        <v>10</v>
      </c>
      <c r="H31" s="22" t="s">
        <v>11</v>
      </c>
      <c r="I31" s="22" t="s">
        <v>51</v>
      </c>
      <c r="J31" s="134"/>
      <c r="K31" s="134"/>
      <c r="L31" s="137"/>
      <c r="M31" s="71"/>
      <c r="N31" s="71"/>
      <c r="O31" s="71"/>
      <c r="P31" s="71"/>
    </row>
    <row r="32" spans="1:21" ht="22.5" customHeight="1" x14ac:dyDescent="0.25">
      <c r="A32" s="18">
        <v>2022</v>
      </c>
      <c r="B32" s="48"/>
      <c r="C32" s="48"/>
      <c r="D32" s="96">
        <f>IFERROR(C32/B32,0)</f>
        <v>0</v>
      </c>
      <c r="E32" s="48"/>
      <c r="F32" s="96">
        <f>IFERROR(E32/B32,0)</f>
        <v>0</v>
      </c>
      <c r="G32" s="48"/>
      <c r="H32" s="96">
        <f>IFERROR(G32/B32,0)</f>
        <v>0</v>
      </c>
      <c r="I32" s="96">
        <f>D32+F32+H32</f>
        <v>0</v>
      </c>
      <c r="J32" s="135"/>
      <c r="K32" s="135"/>
      <c r="L32" s="138"/>
      <c r="M32" s="71"/>
      <c r="N32" s="71"/>
      <c r="O32" s="71"/>
      <c r="P32" s="71"/>
    </row>
    <row r="33" spans="1:21" ht="22.5" customHeight="1" x14ac:dyDescent="0.25">
      <c r="A33" s="18">
        <v>2023</v>
      </c>
      <c r="B33" s="48"/>
      <c r="C33" s="48"/>
      <c r="D33" s="96">
        <f t="shared" ref="D33:D35" si="8">IFERROR(C33/B33,0)</f>
        <v>0</v>
      </c>
      <c r="E33" s="48"/>
      <c r="F33" s="96">
        <f>IFERROR(E33/B33,0)</f>
        <v>0</v>
      </c>
      <c r="G33" s="48"/>
      <c r="H33" s="96">
        <f>IFERROR(G33/B33,0)</f>
        <v>0</v>
      </c>
      <c r="I33" s="96">
        <f t="shared" ref="I33:I35" si="9">D33+F33+H33</f>
        <v>0</v>
      </c>
      <c r="J33" s="135"/>
      <c r="K33" s="135"/>
      <c r="L33" s="138"/>
      <c r="M33" s="71"/>
      <c r="N33" s="71"/>
      <c r="O33" s="71"/>
      <c r="P33" s="71"/>
    </row>
    <row r="34" spans="1:21" ht="22.5" customHeight="1" x14ac:dyDescent="0.25">
      <c r="A34" s="19">
        <v>2024</v>
      </c>
      <c r="B34" s="48"/>
      <c r="C34" s="48"/>
      <c r="D34" s="96">
        <f t="shared" si="8"/>
        <v>0</v>
      </c>
      <c r="E34" s="48"/>
      <c r="F34" s="96">
        <f>IFERROR(E34/B34,0)</f>
        <v>0</v>
      </c>
      <c r="G34" s="48"/>
      <c r="H34" s="96">
        <f t="shared" ref="H34:H35" si="10">IFERROR(G34/B34,0)</f>
        <v>0</v>
      </c>
      <c r="I34" s="96">
        <f t="shared" si="9"/>
        <v>0</v>
      </c>
      <c r="J34" s="135"/>
      <c r="K34" s="135"/>
      <c r="L34" s="138"/>
      <c r="M34" s="71"/>
      <c r="N34" s="71"/>
      <c r="O34" s="71"/>
      <c r="P34" s="71"/>
    </row>
    <row r="35" spans="1:21" ht="22.5" customHeight="1" thickBot="1" x14ac:dyDescent="0.3">
      <c r="A35" s="20" t="s">
        <v>81</v>
      </c>
      <c r="B35" s="48"/>
      <c r="C35" s="48"/>
      <c r="D35" s="96">
        <f t="shared" si="8"/>
        <v>0</v>
      </c>
      <c r="E35" s="48"/>
      <c r="F35" s="96">
        <f>IFERROR(E35/B35,0)</f>
        <v>0</v>
      </c>
      <c r="G35" s="48"/>
      <c r="H35" s="97">
        <f t="shared" si="10"/>
        <v>0</v>
      </c>
      <c r="I35" s="97">
        <f t="shared" si="9"/>
        <v>0</v>
      </c>
      <c r="J35" s="136"/>
      <c r="K35" s="136"/>
      <c r="L35" s="139"/>
      <c r="M35" s="71"/>
      <c r="N35" s="71"/>
      <c r="O35" s="71"/>
      <c r="P35" s="71"/>
    </row>
    <row r="36" spans="1:21" s="6" customFormat="1" ht="15.75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71"/>
      <c r="N36" s="71"/>
      <c r="O36" s="71"/>
      <c r="P36" s="71"/>
      <c r="Q36" s="71"/>
      <c r="R36" s="71"/>
      <c r="S36" s="71"/>
      <c r="T36" s="71"/>
      <c r="U36" s="71"/>
    </row>
    <row r="37" spans="1:21" ht="15.75" customHeight="1" x14ac:dyDescent="0.25">
      <c r="A37" s="218" t="s">
        <v>12</v>
      </c>
      <c r="B37" s="224" t="s">
        <v>13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1"/>
      <c r="M37" s="71"/>
      <c r="N37" s="71"/>
      <c r="O37" s="71"/>
      <c r="P37" s="71"/>
    </row>
    <row r="38" spans="1:21" ht="50.25" customHeight="1" thickBot="1" x14ac:dyDescent="0.3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1"/>
      <c r="M38" s="71"/>
      <c r="N38" s="71"/>
      <c r="O38" s="71"/>
      <c r="P38" s="71"/>
    </row>
    <row r="39" spans="1:21" s="6" customFormat="1" ht="15.75" thickBot="1" x14ac:dyDescent="0.3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71"/>
      <c r="N39" s="71"/>
      <c r="O39" s="71"/>
      <c r="P39" s="71"/>
      <c r="Q39" s="71"/>
      <c r="R39" s="71"/>
      <c r="S39" s="71"/>
      <c r="T39" s="71"/>
      <c r="U39" s="71"/>
    </row>
    <row r="40" spans="1:21" s="145" customFormat="1" ht="60" customHeight="1" thickBot="1" x14ac:dyDescent="0.3">
      <c r="A40" s="147" t="s">
        <v>109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8"/>
      <c r="Q40" s="71"/>
      <c r="R40" s="71"/>
      <c r="S40" s="71"/>
    </row>
    <row r="41" spans="1:21" s="71" customFormat="1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21" s="71" customFormat="1" x14ac:dyDescent="0.25">
      <c r="A42" s="81"/>
      <c r="B42" s="82"/>
      <c r="C42" s="82"/>
      <c r="D42" s="82"/>
      <c r="E42" s="80"/>
      <c r="F42" s="80"/>
      <c r="G42" s="80"/>
      <c r="H42" s="80"/>
      <c r="I42" s="80"/>
      <c r="J42" s="80"/>
      <c r="K42" s="80"/>
      <c r="L42" s="80"/>
    </row>
    <row r="43" spans="1:21" s="71" customFormat="1" x14ac:dyDescent="0.25">
      <c r="A43" s="83"/>
      <c r="B43" s="82"/>
      <c r="C43" s="82"/>
      <c r="D43" s="82"/>
      <c r="E43" s="80"/>
      <c r="F43" s="80"/>
      <c r="G43" s="80"/>
      <c r="H43" s="80"/>
      <c r="I43" s="80"/>
      <c r="J43" s="80"/>
      <c r="K43" s="80"/>
      <c r="L43" s="80"/>
    </row>
    <row r="44" spans="1:21" s="71" customFormat="1" x14ac:dyDescent="0.25">
      <c r="A44" s="83"/>
      <c r="B44" s="82"/>
      <c r="C44" s="82"/>
      <c r="D44" s="82"/>
      <c r="E44" s="80"/>
      <c r="F44" s="80"/>
      <c r="G44" s="80"/>
      <c r="H44" s="80"/>
      <c r="I44" s="80"/>
      <c r="J44" s="80"/>
      <c r="K44" s="80"/>
      <c r="L44" s="80"/>
    </row>
    <row r="45" spans="1:21" s="71" customFormat="1" x14ac:dyDescent="0.25">
      <c r="A45" s="83"/>
      <c r="B45" s="82"/>
      <c r="C45" s="82"/>
      <c r="D45" s="82"/>
      <c r="E45" s="80"/>
      <c r="F45" s="80"/>
      <c r="G45" s="80"/>
      <c r="H45" s="80"/>
      <c r="I45" s="80"/>
      <c r="J45" s="80"/>
      <c r="K45" s="80"/>
      <c r="L45" s="80"/>
    </row>
    <row r="46" spans="1:21" s="71" customFormat="1" x14ac:dyDescent="0.25">
      <c r="A46" s="83"/>
      <c r="B46" s="82"/>
      <c r="C46" s="82"/>
      <c r="D46" s="82"/>
      <c r="E46" s="80"/>
      <c r="F46" s="80"/>
      <c r="G46" s="80"/>
      <c r="H46" s="80"/>
      <c r="I46" s="80"/>
      <c r="J46" s="80"/>
      <c r="K46" s="80"/>
      <c r="L46" s="80"/>
    </row>
    <row r="47" spans="1:21" hidden="1" x14ac:dyDescent="0.25">
      <c r="A47" s="29"/>
      <c r="B47" s="28"/>
      <c r="C47" s="28"/>
      <c r="D47" s="28"/>
    </row>
    <row r="48" spans="1:21" hidden="1" x14ac:dyDescent="0.25">
      <c r="A48" s="29"/>
      <c r="B48" s="28"/>
      <c r="C48" s="28"/>
      <c r="D48" s="28"/>
    </row>
    <row r="49" spans="1:12" hidden="1" x14ac:dyDescent="0.25">
      <c r="A49" s="29"/>
      <c r="B49" s="28"/>
      <c r="C49" s="28"/>
      <c r="D49" s="28"/>
    </row>
    <row r="50" spans="1:12" hidden="1" x14ac:dyDescent="0.25">
      <c r="A50" s="29"/>
      <c r="B50" s="28"/>
      <c r="C50" s="28"/>
      <c r="D50" s="28"/>
    </row>
    <row r="51" spans="1:12" hidden="1" x14ac:dyDescent="0.25">
      <c r="A51" s="29"/>
      <c r="B51" s="28"/>
      <c r="C51" s="28"/>
      <c r="D51" s="28"/>
    </row>
    <row r="52" spans="1:12" hidden="1" x14ac:dyDescent="0.25">
      <c r="A52" s="27"/>
      <c r="B52" s="28"/>
      <c r="C52" s="28"/>
      <c r="D52" s="28"/>
    </row>
    <row r="53" spans="1:12" hidden="1" x14ac:dyDescent="0.25">
      <c r="A53" s="27"/>
      <c r="B53" s="28"/>
      <c r="C53" s="28"/>
      <c r="D53" s="28"/>
    </row>
    <row r="54" spans="1:12" hidden="1" x14ac:dyDescent="0.25">
      <c r="A54" s="27"/>
      <c r="B54" s="28"/>
      <c r="C54" s="28"/>
      <c r="D54" s="28"/>
    </row>
    <row r="55" spans="1:12" s="71" customFormat="1" x14ac:dyDescent="0.25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</row>
    <row r="56" spans="1:12" s="71" customFormat="1" x14ac:dyDescent="0.25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</row>
    <row r="57" spans="1:12" s="71" customFormat="1" x14ac:dyDescent="0.25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</row>
    <row r="58" spans="1:12" s="71" customFormat="1" x14ac:dyDescent="0.25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</row>
    <row r="59" spans="1:12" s="71" customFormat="1" x14ac:dyDescent="0.25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</row>
    <row r="60" spans="1:12" x14ac:dyDescent="0.25"/>
    <row r="61" spans="1:12" x14ac:dyDescent="0.25"/>
    <row r="62" spans="1:12" x14ac:dyDescent="0.25"/>
    <row r="63" spans="1:12" x14ac:dyDescent="0.25"/>
  </sheetData>
  <sheetProtection algorithmName="SHA-512" hashValue="2wjBDbkZgwbRi3mMeoxO+kFyx4JZBpr6/3RGzPh6rd3zy9B1q6nlaTVntv+AJhgB/rPpaZlRVYk65+7cVtNwaQ==" saltValue="hX3DthP1McHPKp032vxjRg==" spinCount="100000" sheet="1" objects="1" scenarios="1"/>
  <protectedRanges>
    <protectedRange sqref="A7:A18" name="Bereich1"/>
    <protectedRange sqref="A25" name="Bereich1_1_1_1"/>
  </protectedRanges>
  <mergeCells count="65">
    <mergeCell ref="P5:P6"/>
    <mergeCell ref="A1:P1"/>
    <mergeCell ref="B2:P2"/>
    <mergeCell ref="B3:P3"/>
    <mergeCell ref="A5:A6"/>
    <mergeCell ref="B5:B6"/>
    <mergeCell ref="E5:E6"/>
    <mergeCell ref="F5:H5"/>
    <mergeCell ref="M5:M6"/>
    <mergeCell ref="N5:N6"/>
    <mergeCell ref="O5:O6"/>
    <mergeCell ref="D5:D6"/>
    <mergeCell ref="C5:C6"/>
    <mergeCell ref="I5:J6"/>
    <mergeCell ref="K5:L6"/>
    <mergeCell ref="B4:P4"/>
    <mergeCell ref="B40:L40"/>
    <mergeCell ref="A28:E28"/>
    <mergeCell ref="H28:L30"/>
    <mergeCell ref="A30:G30"/>
    <mergeCell ref="A37:A38"/>
    <mergeCell ref="B37:L37"/>
    <mergeCell ref="B38:L38"/>
    <mergeCell ref="I7:J7"/>
    <mergeCell ref="K7:L7"/>
    <mergeCell ref="I8:J8"/>
    <mergeCell ref="K8:L8"/>
    <mergeCell ref="I9:J9"/>
    <mergeCell ref="K9:L9"/>
    <mergeCell ref="I10:J10"/>
    <mergeCell ref="K10:L10"/>
    <mergeCell ref="I11:J11"/>
    <mergeCell ref="K11:L11"/>
    <mergeCell ref="I12:J12"/>
    <mergeCell ref="K12:L12"/>
    <mergeCell ref="K18:L18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I27:J27"/>
    <mergeCell ref="K27:L27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19:J19"/>
    <mergeCell ref="K19:L19"/>
    <mergeCell ref="I20:J20"/>
    <mergeCell ref="K20:L20"/>
    <mergeCell ref="I21:J21"/>
    <mergeCell ref="K21:L21"/>
  </mergeCells>
  <conditionalFormatting sqref="B9:C13 B15:C22">
    <cfRule type="expression" dxfId="28" priority="16">
      <formula>"B7=""ohne Vorstellung"""</formula>
    </cfRule>
  </conditionalFormatting>
  <conditionalFormatting sqref="B8:C8">
    <cfRule type="expression" dxfId="27" priority="10">
      <formula>"B7=""ohne Vorstellung"""</formula>
    </cfRule>
  </conditionalFormatting>
  <conditionalFormatting sqref="B14:C14">
    <cfRule type="expression" dxfId="26" priority="9">
      <formula>"B7=""ohne Vorstellung"""</formula>
    </cfRule>
  </conditionalFormatting>
  <conditionalFormatting sqref="B7:C7">
    <cfRule type="expression" dxfId="25" priority="8">
      <formula>"B7=""ohne Vorstellung"""</formula>
    </cfRule>
  </conditionalFormatting>
  <conditionalFormatting sqref="I32:I35">
    <cfRule type="cellIs" dxfId="24" priority="7" operator="greaterThan">
      <formula>1</formula>
    </cfRule>
  </conditionalFormatting>
  <conditionalFormatting sqref="H32:H35">
    <cfRule type="cellIs" dxfId="23" priority="6" operator="greaterThan">
      <formula>1</formula>
    </cfRule>
  </conditionalFormatting>
  <conditionalFormatting sqref="I32:I35">
    <cfRule type="cellIs" dxfId="22" priority="5" operator="greaterThan">
      <formula>1</formula>
    </cfRule>
  </conditionalFormatting>
  <dataValidations disablePrompts="1" count="3">
    <dataValidation type="list" allowBlank="1" showInputMessage="1" showErrorMessage="1" promptTitle="Info:" prompt="Mitwirkende ohne Vorstellungen spielen nicht/stehen nicht auf der Bühne, z.B. Regie, Bühnenbild, Assistenzen._x000a__x000a_Mitwirkende mit Vorstellungen spielen/stehene auf der Bühne,_x000a_z.B. Darsteller:innen, Musiker:innen." sqref="B7:B22" xr:uid="{00000000-0002-0000-0300-000000000000}">
      <formula1>"ohne Vorstellung, mit 1 oder 2 Vorstellungen, ab 3 Vorstellungen"</formula1>
    </dataValidation>
    <dataValidation type="custom" showDropDown="1" showInputMessage="1" showErrorMessage="1" error="Wenn KEINE Mitwirkung in Vorstellungen gegeben ist, muss hier bitte eine Arbeitstundenanzahl angegeben werden. _x000a_Ansonsten muss das Feld freigelassen werden." promptTitle="Info:" prompt="Wenn KEINE Mitwirkung in Vorstellungen gegeben ist, muss hier bitte eine Arbeitstundenanzahl angegeben werden. _x000a_Ansonsten kann das Feld freigelassen werden." sqref="E7:E22" xr:uid="{00000000-0002-0000-0300-000001000000}">
      <formula1>B7="ohne Vorstellung"</formula1>
    </dataValidation>
    <dataValidation type="list" allowBlank="1" showInputMessage="1" showErrorMessage="1" error="Falsch" promptTitle="Info:" sqref="C7:C22" xr:uid="{00000000-0002-0000-0300-000002000000}">
      <formula1>IF(B7="mit 1 oder 2 Vorstellungen",Vorstellungen1_2,IF(B7="ab 3 Vorstellungen",Vorstellungen3))</formula1>
    </dataValidation>
  </dataValidations>
  <hyperlinks>
    <hyperlink ref="A29" r:id="rId1" xr:uid="{00000000-0004-0000-0300-000000000000}"/>
  </hyperlinks>
  <pageMargins left="0.70866141732283472" right="0.70866141732283472" top="0.78740157480314965" bottom="1.8897637795275593" header="0.31496062992125984" footer="0.31496062992125984"/>
  <pageSetup paperSize="9" scale="47" fitToHeight="2" orientation="landscape" r:id="rId2"/>
  <headerFooter>
    <oddHeader>&amp;CDatenblatt "Gerechte Entlohnung 2025" Abteilung 9 Land Steiermark
Honorare Darstellende Kunst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5CCEF6C8-CF48-4C3C-A504-CF588118A676}">
            <xm:f>NOT(ISERROR(SEARCH("-",H7)))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H7:H22</xm:sqref>
        </x14:conditionalFormatting>
        <x14:conditionalFormatting xmlns:xm="http://schemas.microsoft.com/office/excel/2006/main">
          <x14:cfRule type="containsText" priority="4" operator="containsText" id="{40C8271D-D7F1-423A-8E8F-71656144A21C}">
            <xm:f>NOT(ISERROR(SEARCH("-",I7)))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containsText" priority="3" operator="containsText" id="{670BD15C-CC07-4D27-BDA2-EA9C4B9A65CD}">
            <xm:f>NOT(ISERROR(SEARCH("-",I8)))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2" operator="containsText" id="{AD516E1F-044B-4542-B055-DF9D7C143C3D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1" operator="containsText" id="{398FBB65-A6C4-4506-B004-E0F4935E3980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I10:I22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63"/>
  <sheetViews>
    <sheetView showGridLines="0" zoomScale="85" zoomScaleNormal="85" zoomScalePageLayoutView="85" workbookViewId="0">
      <selection activeCell="A40" sqref="A40"/>
    </sheetView>
  </sheetViews>
  <sheetFormatPr baseColWidth="10" defaultColWidth="0" defaultRowHeight="15" zeroHeight="1" x14ac:dyDescent="0.25"/>
  <cols>
    <col min="1" max="1" width="61.7109375" style="1" customWidth="1"/>
    <col min="2" max="2" width="18.28515625" style="8" customWidth="1"/>
    <col min="3" max="3" width="19.140625" style="8" customWidth="1"/>
    <col min="4" max="4" width="19.7109375" style="8" customWidth="1"/>
    <col min="5" max="5" width="21.140625" style="8" customWidth="1"/>
    <col min="6" max="6" width="18.28515625" style="8" customWidth="1"/>
    <col min="7" max="7" width="15.5703125" style="8" bestFit="1" customWidth="1"/>
    <col min="8" max="8" width="18.28515625" style="8" customWidth="1"/>
    <col min="9" max="9" width="8.28515625" style="8" customWidth="1"/>
    <col min="10" max="13" width="18.28515625" style="8" hidden="1" customWidth="1"/>
    <col min="14" max="16" width="11.5703125" style="71" customWidth="1"/>
    <col min="17" max="18" width="11.5703125" style="71" hidden="1" customWidth="1"/>
    <col min="19" max="20" width="0" style="1" hidden="1" customWidth="1"/>
    <col min="21" max="16384" width="11.5703125" style="1" hidden="1"/>
  </cols>
  <sheetData>
    <row r="1" spans="1:15" ht="70.5" customHeight="1" thickBot="1" x14ac:dyDescent="0.3">
      <c r="A1" s="194" t="s">
        <v>113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70"/>
    </row>
    <row r="2" spans="1:15" ht="28.9" customHeight="1" x14ac:dyDescent="0.25">
      <c r="A2" s="16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72"/>
      <c r="O2" s="73"/>
    </row>
    <row r="3" spans="1:15" ht="28.9" customHeight="1" thickBot="1" x14ac:dyDescent="0.3">
      <c r="A3" s="69" t="s">
        <v>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74"/>
      <c r="O3" s="75"/>
    </row>
    <row r="4" spans="1:15" ht="31.5" customHeight="1" thickBot="1" x14ac:dyDescent="0.3">
      <c r="A4" s="2"/>
      <c r="B4" s="154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70"/>
    </row>
    <row r="5" spans="1:15" ht="15" customHeight="1" x14ac:dyDescent="0.25">
      <c r="A5" s="185" t="s">
        <v>68</v>
      </c>
      <c r="B5" s="199" t="s">
        <v>53</v>
      </c>
      <c r="C5" s="201" t="s">
        <v>15</v>
      </c>
      <c r="D5" s="202"/>
      <c r="E5" s="214"/>
      <c r="F5" s="179" t="s">
        <v>99</v>
      </c>
      <c r="G5" s="215"/>
      <c r="H5" s="179" t="s">
        <v>25</v>
      </c>
      <c r="I5" s="211"/>
      <c r="J5" s="205" t="s">
        <v>23</v>
      </c>
      <c r="K5" s="203" t="s">
        <v>24</v>
      </c>
      <c r="L5" s="203" t="s">
        <v>22</v>
      </c>
      <c r="M5" s="209" t="s">
        <v>21</v>
      </c>
    </row>
    <row r="6" spans="1:15" ht="75" customHeight="1" x14ac:dyDescent="0.25">
      <c r="A6" s="186"/>
      <c r="B6" s="200"/>
      <c r="C6" s="17" t="s">
        <v>100</v>
      </c>
      <c r="D6" s="17" t="s">
        <v>97</v>
      </c>
      <c r="E6" s="36" t="s">
        <v>108</v>
      </c>
      <c r="F6" s="216"/>
      <c r="G6" s="217"/>
      <c r="H6" s="181"/>
      <c r="I6" s="212"/>
      <c r="J6" s="206"/>
      <c r="K6" s="204"/>
      <c r="L6" s="204"/>
      <c r="M6" s="210"/>
    </row>
    <row r="7" spans="1:15" ht="22.7" customHeight="1" x14ac:dyDescent="0.25">
      <c r="A7" s="84"/>
      <c r="B7" s="117"/>
      <c r="C7" s="30"/>
      <c r="D7" s="91">
        <f>IFERROR(IF(A7="Konzert regionaler Act",400,IF(A7="Konzert nationaler Act",620,IF(A7="Konzert internationaler Act",820,IF(A7="Konzert kleines Ensemble",399,IF(A7="Konzert Orchester",239.4,0))))),0)</f>
        <v>0</v>
      </c>
      <c r="E7" s="116">
        <f>IFERROR(IF(B7="",0,(C7-D7)*B7),0)</f>
        <v>0</v>
      </c>
      <c r="F7" s="164">
        <f>E7*0.243</f>
        <v>0</v>
      </c>
      <c r="G7" s="165"/>
      <c r="H7" s="157">
        <f>IFERROR((C7-D7)/C7,0)</f>
        <v>0</v>
      </c>
      <c r="I7" s="158"/>
      <c r="J7" s="33"/>
      <c r="K7" s="93">
        <f t="shared" ref="K7:K22" si="0">IFERROR(J7/F7,0)</f>
        <v>0</v>
      </c>
      <c r="L7" s="33"/>
      <c r="M7" s="94">
        <f t="shared" ref="M7:M22" si="1">IFERROR(L7/G7,0)</f>
        <v>0</v>
      </c>
    </row>
    <row r="8" spans="1:15" ht="22.7" customHeight="1" x14ac:dyDescent="0.25">
      <c r="A8" s="84"/>
      <c r="B8" s="117"/>
      <c r="C8" s="30"/>
      <c r="D8" s="91">
        <f t="shared" ref="D8:D22" si="2">IFERROR(IF(A8="Konzert regionaler Act",400,IF(A8="Konzert nationaler Act",620,IF(A8="Konzert internationaler Act",820,IF(A8="Konzert kleines Ensemble",399,IF(A8="Konzert Orchester",239.4,0))))),0)</f>
        <v>0</v>
      </c>
      <c r="E8" s="116">
        <f>IFERROR(IF(B8="",0,(C8-D8)*B8),0)</f>
        <v>0</v>
      </c>
      <c r="F8" s="164">
        <f t="shared" ref="F8:F22" si="3">E8*0.243</f>
        <v>0</v>
      </c>
      <c r="G8" s="165"/>
      <c r="H8" s="157">
        <f t="shared" ref="H8:H22" si="4">IFERROR((C8-D8)/C8,0)</f>
        <v>0</v>
      </c>
      <c r="I8" s="158"/>
      <c r="J8" s="33"/>
      <c r="K8" s="93">
        <f t="shared" si="0"/>
        <v>0</v>
      </c>
      <c r="L8" s="33"/>
      <c r="M8" s="94">
        <f t="shared" si="1"/>
        <v>0</v>
      </c>
    </row>
    <row r="9" spans="1:15" ht="22.7" customHeight="1" x14ac:dyDescent="0.25">
      <c r="A9" s="84"/>
      <c r="B9" s="117"/>
      <c r="C9" s="30"/>
      <c r="D9" s="91">
        <f t="shared" si="2"/>
        <v>0</v>
      </c>
      <c r="E9" s="116">
        <f t="shared" ref="E9:E22" si="5">IFERROR(IF(B9="",0,(C9-D9)*B9),0)</f>
        <v>0</v>
      </c>
      <c r="F9" s="164">
        <f t="shared" si="3"/>
        <v>0</v>
      </c>
      <c r="G9" s="165"/>
      <c r="H9" s="157">
        <f t="shared" si="4"/>
        <v>0</v>
      </c>
      <c r="I9" s="158"/>
      <c r="J9" s="33"/>
      <c r="K9" s="93">
        <f t="shared" si="0"/>
        <v>0</v>
      </c>
      <c r="L9" s="33"/>
      <c r="M9" s="94">
        <f t="shared" si="1"/>
        <v>0</v>
      </c>
    </row>
    <row r="10" spans="1:15" ht="22.7" customHeight="1" x14ac:dyDescent="0.25">
      <c r="A10" s="84"/>
      <c r="B10" s="117"/>
      <c r="C10" s="30"/>
      <c r="D10" s="91">
        <f t="shared" si="2"/>
        <v>0</v>
      </c>
      <c r="E10" s="116">
        <f t="shared" si="5"/>
        <v>0</v>
      </c>
      <c r="F10" s="164">
        <f t="shared" si="3"/>
        <v>0</v>
      </c>
      <c r="G10" s="165"/>
      <c r="H10" s="157">
        <f t="shared" si="4"/>
        <v>0</v>
      </c>
      <c r="I10" s="158"/>
      <c r="J10" s="33"/>
      <c r="K10" s="93">
        <f t="shared" si="0"/>
        <v>0</v>
      </c>
      <c r="L10" s="33"/>
      <c r="M10" s="94">
        <f t="shared" si="1"/>
        <v>0</v>
      </c>
    </row>
    <row r="11" spans="1:15" ht="22.7" customHeight="1" x14ac:dyDescent="0.25">
      <c r="A11" s="84"/>
      <c r="B11" s="117"/>
      <c r="C11" s="30"/>
      <c r="D11" s="91">
        <f t="shared" si="2"/>
        <v>0</v>
      </c>
      <c r="E11" s="116">
        <f t="shared" si="5"/>
        <v>0</v>
      </c>
      <c r="F11" s="164">
        <f t="shared" si="3"/>
        <v>0</v>
      </c>
      <c r="G11" s="165"/>
      <c r="H11" s="157">
        <f t="shared" si="4"/>
        <v>0</v>
      </c>
      <c r="I11" s="158"/>
      <c r="J11" s="33"/>
      <c r="K11" s="93">
        <f t="shared" si="0"/>
        <v>0</v>
      </c>
      <c r="L11" s="33"/>
      <c r="M11" s="94">
        <f t="shared" si="1"/>
        <v>0</v>
      </c>
    </row>
    <row r="12" spans="1:15" ht="22.7" customHeight="1" x14ac:dyDescent="0.25">
      <c r="A12" s="84"/>
      <c r="B12" s="117"/>
      <c r="C12" s="30"/>
      <c r="D12" s="91">
        <f t="shared" si="2"/>
        <v>0</v>
      </c>
      <c r="E12" s="116">
        <f t="shared" si="5"/>
        <v>0</v>
      </c>
      <c r="F12" s="164">
        <f t="shared" si="3"/>
        <v>0</v>
      </c>
      <c r="G12" s="165"/>
      <c r="H12" s="157">
        <f t="shared" si="4"/>
        <v>0</v>
      </c>
      <c r="I12" s="158"/>
      <c r="J12" s="33"/>
      <c r="K12" s="93">
        <f t="shared" si="0"/>
        <v>0</v>
      </c>
      <c r="L12" s="33"/>
      <c r="M12" s="94">
        <f t="shared" si="1"/>
        <v>0</v>
      </c>
    </row>
    <row r="13" spans="1:15" ht="22.7" customHeight="1" x14ac:dyDescent="0.25">
      <c r="A13" s="84"/>
      <c r="B13" s="117"/>
      <c r="C13" s="30"/>
      <c r="D13" s="91">
        <f t="shared" si="2"/>
        <v>0</v>
      </c>
      <c r="E13" s="116">
        <f t="shared" si="5"/>
        <v>0</v>
      </c>
      <c r="F13" s="164">
        <f t="shared" si="3"/>
        <v>0</v>
      </c>
      <c r="G13" s="165"/>
      <c r="H13" s="157">
        <f t="shared" si="4"/>
        <v>0</v>
      </c>
      <c r="I13" s="158"/>
      <c r="J13" s="33"/>
      <c r="K13" s="93">
        <f t="shared" si="0"/>
        <v>0</v>
      </c>
      <c r="L13" s="33"/>
      <c r="M13" s="94">
        <f t="shared" si="1"/>
        <v>0</v>
      </c>
    </row>
    <row r="14" spans="1:15" ht="22.7" customHeight="1" x14ac:dyDescent="0.25">
      <c r="A14" s="84"/>
      <c r="B14" s="117"/>
      <c r="C14" s="30"/>
      <c r="D14" s="91">
        <f t="shared" si="2"/>
        <v>0</v>
      </c>
      <c r="E14" s="116">
        <f t="shared" si="5"/>
        <v>0</v>
      </c>
      <c r="F14" s="164">
        <f t="shared" si="3"/>
        <v>0</v>
      </c>
      <c r="G14" s="165"/>
      <c r="H14" s="157">
        <f t="shared" si="4"/>
        <v>0</v>
      </c>
      <c r="I14" s="158"/>
      <c r="J14" s="33"/>
      <c r="K14" s="93">
        <f t="shared" si="0"/>
        <v>0</v>
      </c>
      <c r="L14" s="33"/>
      <c r="M14" s="94">
        <f t="shared" si="1"/>
        <v>0</v>
      </c>
    </row>
    <row r="15" spans="1:15" ht="22.7" customHeight="1" x14ac:dyDescent="0.25">
      <c r="A15" s="84"/>
      <c r="B15" s="117"/>
      <c r="C15" s="30"/>
      <c r="D15" s="91">
        <f t="shared" si="2"/>
        <v>0</v>
      </c>
      <c r="E15" s="116">
        <f t="shared" si="5"/>
        <v>0</v>
      </c>
      <c r="F15" s="164">
        <f t="shared" si="3"/>
        <v>0</v>
      </c>
      <c r="G15" s="165"/>
      <c r="H15" s="157">
        <f t="shared" si="4"/>
        <v>0</v>
      </c>
      <c r="I15" s="158"/>
      <c r="J15" s="33"/>
      <c r="K15" s="93">
        <f t="shared" si="0"/>
        <v>0</v>
      </c>
      <c r="L15" s="33"/>
      <c r="M15" s="94">
        <f t="shared" si="1"/>
        <v>0</v>
      </c>
    </row>
    <row r="16" spans="1:15" ht="22.7" customHeight="1" x14ac:dyDescent="0.25">
      <c r="A16" s="84"/>
      <c r="B16" s="117"/>
      <c r="C16" s="30"/>
      <c r="D16" s="91">
        <f t="shared" si="2"/>
        <v>0</v>
      </c>
      <c r="E16" s="116">
        <f t="shared" si="5"/>
        <v>0</v>
      </c>
      <c r="F16" s="164">
        <f t="shared" si="3"/>
        <v>0</v>
      </c>
      <c r="G16" s="165"/>
      <c r="H16" s="157">
        <f t="shared" si="4"/>
        <v>0</v>
      </c>
      <c r="I16" s="158"/>
      <c r="J16" s="33"/>
      <c r="K16" s="93">
        <f t="shared" si="0"/>
        <v>0</v>
      </c>
      <c r="L16" s="33"/>
      <c r="M16" s="94">
        <f t="shared" si="1"/>
        <v>0</v>
      </c>
    </row>
    <row r="17" spans="1:19" ht="22.7" customHeight="1" x14ac:dyDescent="0.25">
      <c r="A17" s="84"/>
      <c r="B17" s="117"/>
      <c r="C17" s="30"/>
      <c r="D17" s="91">
        <f t="shared" si="2"/>
        <v>0</v>
      </c>
      <c r="E17" s="116">
        <f t="shared" si="5"/>
        <v>0</v>
      </c>
      <c r="F17" s="164">
        <f t="shared" si="3"/>
        <v>0</v>
      </c>
      <c r="G17" s="165"/>
      <c r="H17" s="157">
        <f t="shared" si="4"/>
        <v>0</v>
      </c>
      <c r="I17" s="158"/>
      <c r="J17" s="33"/>
      <c r="K17" s="93">
        <f t="shared" si="0"/>
        <v>0</v>
      </c>
      <c r="L17" s="33"/>
      <c r="M17" s="94">
        <f t="shared" si="1"/>
        <v>0</v>
      </c>
    </row>
    <row r="18" spans="1:19" ht="22.7" customHeight="1" x14ac:dyDescent="0.25">
      <c r="A18" s="84"/>
      <c r="B18" s="117"/>
      <c r="C18" s="30"/>
      <c r="D18" s="91">
        <f t="shared" si="2"/>
        <v>0</v>
      </c>
      <c r="E18" s="116">
        <f t="shared" si="5"/>
        <v>0</v>
      </c>
      <c r="F18" s="164">
        <f t="shared" si="3"/>
        <v>0</v>
      </c>
      <c r="G18" s="165"/>
      <c r="H18" s="157">
        <f t="shared" si="4"/>
        <v>0</v>
      </c>
      <c r="I18" s="158"/>
      <c r="J18" s="33"/>
      <c r="K18" s="93">
        <f t="shared" si="0"/>
        <v>0</v>
      </c>
      <c r="L18" s="33"/>
      <c r="M18" s="94">
        <f t="shared" si="1"/>
        <v>0</v>
      </c>
    </row>
    <row r="19" spans="1:19" ht="22.7" customHeight="1" x14ac:dyDescent="0.25">
      <c r="A19" s="84"/>
      <c r="B19" s="117"/>
      <c r="C19" s="30"/>
      <c r="D19" s="91">
        <f t="shared" si="2"/>
        <v>0</v>
      </c>
      <c r="E19" s="116">
        <f t="shared" si="5"/>
        <v>0</v>
      </c>
      <c r="F19" s="164">
        <f t="shared" si="3"/>
        <v>0</v>
      </c>
      <c r="G19" s="165"/>
      <c r="H19" s="157">
        <f t="shared" si="4"/>
        <v>0</v>
      </c>
      <c r="I19" s="158"/>
      <c r="J19" s="33"/>
      <c r="K19" s="93">
        <f t="shared" si="0"/>
        <v>0</v>
      </c>
      <c r="L19" s="33"/>
      <c r="M19" s="94">
        <f t="shared" si="1"/>
        <v>0</v>
      </c>
    </row>
    <row r="20" spans="1:19" ht="22.7" customHeight="1" x14ac:dyDescent="0.25">
      <c r="A20" s="84"/>
      <c r="B20" s="117"/>
      <c r="C20" s="30"/>
      <c r="D20" s="91">
        <f t="shared" si="2"/>
        <v>0</v>
      </c>
      <c r="E20" s="116">
        <f t="shared" si="5"/>
        <v>0</v>
      </c>
      <c r="F20" s="164">
        <f t="shared" si="3"/>
        <v>0</v>
      </c>
      <c r="G20" s="165"/>
      <c r="H20" s="157">
        <f t="shared" si="4"/>
        <v>0</v>
      </c>
      <c r="I20" s="158"/>
      <c r="J20" s="33"/>
      <c r="K20" s="93">
        <f t="shared" si="0"/>
        <v>0</v>
      </c>
      <c r="L20" s="33"/>
      <c r="M20" s="94">
        <f t="shared" si="1"/>
        <v>0</v>
      </c>
    </row>
    <row r="21" spans="1:19" ht="22.7" customHeight="1" x14ac:dyDescent="0.25">
      <c r="A21" s="84"/>
      <c r="B21" s="117"/>
      <c r="C21" s="30"/>
      <c r="D21" s="91">
        <f t="shared" si="2"/>
        <v>0</v>
      </c>
      <c r="E21" s="116">
        <f t="shared" si="5"/>
        <v>0</v>
      </c>
      <c r="F21" s="164">
        <f t="shared" si="3"/>
        <v>0</v>
      </c>
      <c r="G21" s="165"/>
      <c r="H21" s="157">
        <f t="shared" si="4"/>
        <v>0</v>
      </c>
      <c r="I21" s="158"/>
      <c r="J21" s="33"/>
      <c r="K21" s="93">
        <f t="shared" si="0"/>
        <v>0</v>
      </c>
      <c r="L21" s="33"/>
      <c r="M21" s="94">
        <f t="shared" si="1"/>
        <v>0</v>
      </c>
    </row>
    <row r="22" spans="1:19" ht="22.7" customHeight="1" x14ac:dyDescent="0.25">
      <c r="A22" s="84"/>
      <c r="B22" s="117"/>
      <c r="C22" s="30"/>
      <c r="D22" s="91">
        <f t="shared" si="2"/>
        <v>0</v>
      </c>
      <c r="E22" s="116">
        <f t="shared" si="5"/>
        <v>0</v>
      </c>
      <c r="F22" s="164">
        <f t="shared" si="3"/>
        <v>0</v>
      </c>
      <c r="G22" s="165"/>
      <c r="H22" s="157">
        <f t="shared" si="4"/>
        <v>0</v>
      </c>
      <c r="I22" s="158"/>
      <c r="J22" s="33"/>
      <c r="K22" s="93">
        <f t="shared" si="0"/>
        <v>0</v>
      </c>
      <c r="L22" s="33"/>
      <c r="M22" s="94">
        <f t="shared" si="1"/>
        <v>0</v>
      </c>
    </row>
    <row r="23" spans="1:19" x14ac:dyDescent="0.25">
      <c r="A23" s="66" t="s">
        <v>82</v>
      </c>
      <c r="B23" s="99"/>
      <c r="C23" s="39"/>
      <c r="D23" s="39"/>
      <c r="E23" s="39"/>
      <c r="F23" s="159"/>
      <c r="G23" s="213"/>
      <c r="H23" s="159"/>
      <c r="I23" s="160"/>
      <c r="J23" s="40"/>
      <c r="K23" s="41"/>
      <c r="L23" s="39"/>
      <c r="M23" s="42"/>
    </row>
    <row r="24" spans="1:19" x14ac:dyDescent="0.25">
      <c r="A24" s="66" t="s">
        <v>85</v>
      </c>
      <c r="B24" s="99"/>
      <c r="C24" s="38"/>
      <c r="D24" s="39"/>
      <c r="E24" s="39"/>
      <c r="F24" s="159"/>
      <c r="G24" s="213"/>
      <c r="H24" s="159"/>
      <c r="I24" s="160"/>
      <c r="J24" s="40"/>
      <c r="K24" s="40"/>
      <c r="L24" s="41"/>
      <c r="M24" s="39"/>
      <c r="N24" s="149"/>
      <c r="S24" s="71"/>
    </row>
    <row r="25" spans="1:19" x14ac:dyDescent="0.25">
      <c r="A25" s="66" t="s">
        <v>83</v>
      </c>
      <c r="B25" s="99"/>
      <c r="C25" s="39"/>
      <c r="D25" s="39"/>
      <c r="E25" s="39"/>
      <c r="F25" s="159"/>
      <c r="G25" s="213"/>
      <c r="H25" s="159"/>
      <c r="I25" s="160"/>
      <c r="J25" s="40"/>
      <c r="K25" s="41"/>
      <c r="L25" s="39"/>
      <c r="M25" s="42"/>
    </row>
    <row r="26" spans="1:19" x14ac:dyDescent="0.25">
      <c r="A26" s="66" t="s">
        <v>84</v>
      </c>
      <c r="B26" s="100"/>
      <c r="C26" s="44"/>
      <c r="D26" s="44"/>
      <c r="E26" s="44"/>
      <c r="F26" s="159"/>
      <c r="G26" s="213"/>
      <c r="H26" s="159"/>
      <c r="I26" s="160"/>
      <c r="J26" s="40"/>
      <c r="K26" s="41"/>
      <c r="L26" s="39"/>
      <c r="M26" s="42"/>
    </row>
    <row r="27" spans="1:19" ht="15.75" thickBot="1" x14ac:dyDescent="0.3">
      <c r="A27" s="67" t="s">
        <v>3</v>
      </c>
      <c r="B27" s="101">
        <f>SUM(B7:B22)</f>
        <v>0</v>
      </c>
      <c r="C27" s="32">
        <f>SUM(C7:C22)</f>
        <v>0</v>
      </c>
      <c r="D27" s="32">
        <f>SUM(D7:D22)</f>
        <v>0</v>
      </c>
      <c r="E27" s="31">
        <f>SUMIF(E7:E22,"&lt;0",E7:E22)</f>
        <v>0</v>
      </c>
      <c r="F27" s="152">
        <f t="shared" ref="F27" si="6">SUMIF(F7:F22,"&lt;0",F7:F22)</f>
        <v>0</v>
      </c>
      <c r="G27" s="163"/>
      <c r="H27" s="152" t="s">
        <v>36</v>
      </c>
      <c r="I27" s="153"/>
      <c r="J27" s="51">
        <f t="shared" ref="J27:M27" si="7">SUM(J7:J22)</f>
        <v>0</v>
      </c>
      <c r="K27" s="45">
        <f t="shared" si="7"/>
        <v>0</v>
      </c>
      <c r="L27" s="46">
        <f t="shared" si="7"/>
        <v>0</v>
      </c>
      <c r="M27" s="47">
        <f t="shared" si="7"/>
        <v>0</v>
      </c>
    </row>
    <row r="28" spans="1:19" ht="15" customHeight="1" x14ac:dyDescent="0.25">
      <c r="A28" s="222" t="s">
        <v>89</v>
      </c>
      <c r="B28" s="223"/>
      <c r="C28" s="223"/>
      <c r="D28" s="223"/>
      <c r="E28" s="227" t="s">
        <v>20</v>
      </c>
      <c r="F28" s="169"/>
      <c r="G28" s="169"/>
      <c r="H28" s="169"/>
      <c r="I28" s="169"/>
      <c r="J28" s="169"/>
      <c r="K28" s="169"/>
      <c r="L28" s="169"/>
      <c r="M28" s="103"/>
    </row>
    <row r="29" spans="1:19" ht="15" customHeight="1" x14ac:dyDescent="0.25">
      <c r="A29" s="112" t="s">
        <v>57</v>
      </c>
      <c r="B29" s="112"/>
      <c r="C29" s="112"/>
      <c r="D29" s="112"/>
      <c r="E29" s="228"/>
      <c r="F29" s="171"/>
      <c r="G29" s="171"/>
      <c r="H29" s="171"/>
      <c r="I29" s="104"/>
      <c r="J29" s="104"/>
      <c r="K29" s="104"/>
      <c r="L29" s="104"/>
      <c r="M29" s="105"/>
    </row>
    <row r="30" spans="1:19" ht="79.900000000000006" customHeight="1" thickBot="1" x14ac:dyDescent="0.3">
      <c r="A30" s="225" t="s">
        <v>94</v>
      </c>
      <c r="B30" s="226"/>
      <c r="C30" s="226"/>
      <c r="D30" s="226"/>
      <c r="E30" s="229"/>
      <c r="F30" s="173"/>
      <c r="G30" s="173"/>
      <c r="H30" s="173"/>
      <c r="I30" s="106"/>
      <c r="J30" s="104"/>
      <c r="K30" s="104"/>
      <c r="L30" s="104"/>
      <c r="M30" s="105"/>
    </row>
    <row r="31" spans="1:19" ht="60" x14ac:dyDescent="0.25">
      <c r="A31" s="21" t="s">
        <v>4</v>
      </c>
      <c r="B31" s="22" t="s">
        <v>5</v>
      </c>
      <c r="C31" s="22" t="s">
        <v>6</v>
      </c>
      <c r="D31" s="22" t="s">
        <v>7</v>
      </c>
      <c r="E31" s="22" t="s">
        <v>8</v>
      </c>
      <c r="F31" s="22" t="s">
        <v>9</v>
      </c>
      <c r="G31" s="22" t="s">
        <v>10</v>
      </c>
      <c r="H31" s="22" t="s">
        <v>11</v>
      </c>
      <c r="I31" s="22" t="s">
        <v>51</v>
      </c>
      <c r="J31" s="9"/>
      <c r="K31" s="9"/>
      <c r="L31" s="9"/>
      <c r="M31" s="124"/>
    </row>
    <row r="32" spans="1:19" ht="22.5" customHeight="1" x14ac:dyDescent="0.25">
      <c r="A32" s="18">
        <v>2022</v>
      </c>
      <c r="B32" s="48"/>
      <c r="C32" s="48"/>
      <c r="D32" s="96">
        <f>IFERROR(C32/B32,0)</f>
        <v>0</v>
      </c>
      <c r="E32" s="48"/>
      <c r="F32" s="96">
        <f>IFERROR(E32/B32,0)</f>
        <v>0</v>
      </c>
      <c r="G32" s="48"/>
      <c r="H32" s="96">
        <f>IFERROR(G32/B32,0)</f>
        <v>0</v>
      </c>
      <c r="I32" s="96">
        <f>D32+F32+H32</f>
        <v>0</v>
      </c>
      <c r="J32" s="10"/>
      <c r="K32" s="10"/>
      <c r="L32" s="10"/>
      <c r="M32" s="131"/>
    </row>
    <row r="33" spans="1:18" ht="22.5" customHeight="1" x14ac:dyDescent="0.25">
      <c r="A33" s="18">
        <v>2023</v>
      </c>
      <c r="B33" s="48"/>
      <c r="C33" s="48"/>
      <c r="D33" s="96">
        <f t="shared" ref="D33:D35" si="8">IFERROR(C33/B33,0)</f>
        <v>0</v>
      </c>
      <c r="E33" s="48"/>
      <c r="F33" s="96">
        <f>IFERROR(E33/B33,0)</f>
        <v>0</v>
      </c>
      <c r="G33" s="48"/>
      <c r="H33" s="96">
        <f>IFERROR(G33/B33,0)</f>
        <v>0</v>
      </c>
      <c r="I33" s="96">
        <f t="shared" ref="I33:I35" si="9">D33+F33+H33</f>
        <v>0</v>
      </c>
      <c r="J33" s="10"/>
      <c r="K33" s="10"/>
      <c r="L33" s="10"/>
      <c r="M33" s="131"/>
    </row>
    <row r="34" spans="1:18" ht="22.5" customHeight="1" x14ac:dyDescent="0.25">
      <c r="A34" s="19">
        <v>2024</v>
      </c>
      <c r="B34" s="48"/>
      <c r="C34" s="48"/>
      <c r="D34" s="96">
        <f t="shared" si="8"/>
        <v>0</v>
      </c>
      <c r="E34" s="48"/>
      <c r="F34" s="96">
        <f>IFERROR(E34/B34,0)</f>
        <v>0</v>
      </c>
      <c r="G34" s="48"/>
      <c r="H34" s="96">
        <f t="shared" ref="H34:H35" si="10">IFERROR(G34/B34,0)</f>
        <v>0</v>
      </c>
      <c r="I34" s="96">
        <f t="shared" si="9"/>
        <v>0</v>
      </c>
      <c r="J34" s="10"/>
      <c r="K34" s="10"/>
      <c r="L34" s="10"/>
      <c r="M34" s="132"/>
    </row>
    <row r="35" spans="1:18" ht="22.5" customHeight="1" thickBot="1" x14ac:dyDescent="0.3">
      <c r="A35" s="20" t="s">
        <v>81</v>
      </c>
      <c r="B35" s="48"/>
      <c r="C35" s="48"/>
      <c r="D35" s="96">
        <f t="shared" si="8"/>
        <v>0</v>
      </c>
      <c r="E35" s="48"/>
      <c r="F35" s="96">
        <f>IFERROR(E35/B35,0)</f>
        <v>0</v>
      </c>
      <c r="G35" s="48"/>
      <c r="H35" s="97">
        <f t="shared" si="10"/>
        <v>0</v>
      </c>
      <c r="I35" s="97">
        <f t="shared" si="9"/>
        <v>0</v>
      </c>
      <c r="J35" s="11"/>
      <c r="K35" s="11"/>
      <c r="L35" s="11"/>
      <c r="M35" s="133"/>
    </row>
    <row r="36" spans="1:18" s="6" customFormat="1" ht="15.75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140"/>
      <c r="K36" s="140"/>
      <c r="L36" s="140"/>
      <c r="M36" s="141"/>
      <c r="N36" s="71"/>
      <c r="O36" s="71"/>
      <c r="P36" s="71"/>
      <c r="Q36" s="71"/>
      <c r="R36" s="71"/>
    </row>
    <row r="37" spans="1:18" ht="15.75" customHeight="1" x14ac:dyDescent="0.25">
      <c r="A37" s="218" t="s">
        <v>12</v>
      </c>
      <c r="B37" s="224" t="s">
        <v>13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1"/>
    </row>
    <row r="38" spans="1:18" ht="50.25" customHeight="1" thickBot="1" x14ac:dyDescent="0.3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1"/>
    </row>
    <row r="39" spans="1:18" s="6" customFormat="1" ht="15.75" thickBot="1" x14ac:dyDescent="0.3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71"/>
      <c r="O39" s="71"/>
      <c r="P39" s="71"/>
      <c r="Q39" s="71"/>
      <c r="R39" s="71"/>
    </row>
    <row r="40" spans="1:18" ht="60" customHeight="1" thickBot="1" x14ac:dyDescent="0.3">
      <c r="A40" s="147" t="s">
        <v>109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</row>
    <row r="41" spans="1:18" s="71" customFormat="1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8" s="71" customFormat="1" x14ac:dyDescent="0.25">
      <c r="A42" s="81"/>
      <c r="B42" s="82"/>
      <c r="C42" s="82"/>
      <c r="D42" s="82"/>
      <c r="E42" s="82"/>
      <c r="F42" s="80"/>
      <c r="G42" s="80"/>
      <c r="H42" s="80"/>
      <c r="I42" s="80"/>
      <c r="J42" s="80"/>
      <c r="K42" s="80"/>
      <c r="L42" s="80"/>
      <c r="M42" s="80"/>
    </row>
    <row r="43" spans="1:18" s="71" customFormat="1" x14ac:dyDescent="0.25">
      <c r="A43" s="83"/>
      <c r="B43" s="82"/>
      <c r="C43" s="82"/>
      <c r="D43" s="82"/>
      <c r="E43" s="82"/>
      <c r="F43" s="80"/>
      <c r="G43" s="80"/>
      <c r="H43" s="80"/>
      <c r="I43" s="80"/>
      <c r="J43" s="80"/>
      <c r="K43" s="80"/>
      <c r="L43" s="80"/>
      <c r="M43" s="80"/>
    </row>
    <row r="44" spans="1:18" s="71" customFormat="1" x14ac:dyDescent="0.25">
      <c r="A44" s="83"/>
      <c r="B44" s="82"/>
      <c r="C44" s="82"/>
      <c r="D44" s="82"/>
      <c r="E44" s="82"/>
      <c r="F44" s="80"/>
      <c r="G44" s="80"/>
      <c r="H44" s="80"/>
      <c r="I44" s="80"/>
      <c r="J44" s="80"/>
      <c r="K44" s="80"/>
      <c r="L44" s="80"/>
      <c r="M44" s="80"/>
    </row>
    <row r="45" spans="1:18" s="71" customFormat="1" x14ac:dyDescent="0.25">
      <c r="A45" s="83"/>
      <c r="B45" s="82"/>
      <c r="C45" s="82"/>
      <c r="D45" s="82"/>
      <c r="E45" s="82"/>
      <c r="F45" s="80"/>
      <c r="G45" s="80"/>
      <c r="H45" s="80"/>
      <c r="I45" s="80"/>
      <c r="J45" s="80"/>
      <c r="K45" s="80"/>
      <c r="L45" s="80"/>
      <c r="M45" s="80"/>
    </row>
    <row r="46" spans="1:18" s="71" customFormat="1" x14ac:dyDescent="0.25">
      <c r="A46" s="83"/>
      <c r="B46" s="82"/>
      <c r="C46" s="82"/>
      <c r="D46" s="82"/>
      <c r="E46" s="82"/>
      <c r="F46" s="80"/>
      <c r="G46" s="80"/>
      <c r="H46" s="80"/>
      <c r="I46" s="80"/>
      <c r="J46" s="80"/>
      <c r="K46" s="80"/>
      <c r="L46" s="80"/>
      <c r="M46" s="80"/>
    </row>
    <row r="47" spans="1:18" hidden="1" x14ac:dyDescent="0.25">
      <c r="A47" s="29"/>
      <c r="B47" s="28"/>
      <c r="C47" s="28"/>
      <c r="D47" s="28"/>
      <c r="E47" s="28"/>
    </row>
    <row r="48" spans="1:18" hidden="1" x14ac:dyDescent="0.25">
      <c r="A48" s="29"/>
      <c r="B48" s="28"/>
      <c r="C48" s="28"/>
      <c r="D48" s="28"/>
      <c r="E48" s="28"/>
    </row>
    <row r="49" spans="1:13" hidden="1" x14ac:dyDescent="0.25">
      <c r="A49" s="29"/>
      <c r="B49" s="28"/>
      <c r="C49" s="28"/>
      <c r="D49" s="28"/>
      <c r="E49" s="28"/>
    </row>
    <row r="50" spans="1:13" hidden="1" x14ac:dyDescent="0.25">
      <c r="A50" s="29"/>
      <c r="B50" s="28"/>
      <c r="C50" s="28"/>
      <c r="D50" s="28"/>
      <c r="E50" s="28"/>
    </row>
    <row r="51" spans="1:13" hidden="1" x14ac:dyDescent="0.25">
      <c r="A51" s="29"/>
      <c r="B51" s="28"/>
      <c r="C51" s="28"/>
      <c r="D51" s="28"/>
      <c r="E51" s="28"/>
    </row>
    <row r="52" spans="1:13" hidden="1" x14ac:dyDescent="0.25">
      <c r="A52" s="27"/>
      <c r="B52" s="28"/>
      <c r="C52" s="28"/>
      <c r="D52" s="28"/>
      <c r="E52" s="28"/>
    </row>
    <row r="53" spans="1:13" hidden="1" x14ac:dyDescent="0.25">
      <c r="A53" s="27"/>
      <c r="B53" s="28"/>
      <c r="C53" s="28"/>
      <c r="D53" s="28"/>
      <c r="E53" s="28"/>
    </row>
    <row r="54" spans="1:13" hidden="1" x14ac:dyDescent="0.25">
      <c r="A54" s="27"/>
      <c r="B54" s="28"/>
      <c r="C54" s="28"/>
      <c r="D54" s="28"/>
      <c r="E54" s="28"/>
    </row>
    <row r="55" spans="1:13" s="71" customFormat="1" x14ac:dyDescent="0.25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</row>
    <row r="56" spans="1:13" s="71" customFormat="1" x14ac:dyDescent="0.25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</row>
    <row r="57" spans="1:13" s="71" customFormat="1" x14ac:dyDescent="0.25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</row>
    <row r="58" spans="1:13" s="71" customFormat="1" x14ac:dyDescent="0.25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</row>
    <row r="59" spans="1:13" s="71" customFormat="1" x14ac:dyDescent="0.25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0" spans="1:13" x14ac:dyDescent="0.25"/>
    <row r="61" spans="1:13" x14ac:dyDescent="0.25"/>
    <row r="62" spans="1:13" x14ac:dyDescent="0.25"/>
    <row r="63" spans="1:13" x14ac:dyDescent="0.25"/>
  </sheetData>
  <sheetProtection algorithmName="SHA-512" hashValue="s9KdNwZNePbRUz1TXZcLLSYlPnNt6QfC/6LMhxkC+7sQBV+pQ2GqhpIHqNerWdzmrrGRzYTE/fTIFg0PnqfyTA==" saltValue="DAMQzsGoGBCnYHX4Lejj0w==" spinCount="100000" sheet="1" objects="1" scenarios="1"/>
  <protectedRanges>
    <protectedRange sqref="A7:A22" name="Bereich1_2"/>
    <protectedRange sqref="A25" name="Bereich1_1_1_1"/>
  </protectedRanges>
  <mergeCells count="63">
    <mergeCell ref="B40:M40"/>
    <mergeCell ref="A37:A38"/>
    <mergeCell ref="B38:M38"/>
    <mergeCell ref="B37:M37"/>
    <mergeCell ref="A30:D30"/>
    <mergeCell ref="E28:H30"/>
    <mergeCell ref="I28:L28"/>
    <mergeCell ref="K5:K6"/>
    <mergeCell ref="C5:E5"/>
    <mergeCell ref="A28:D28"/>
    <mergeCell ref="J5:J6"/>
    <mergeCell ref="B5:B6"/>
    <mergeCell ref="F7:G7"/>
    <mergeCell ref="H7:I7"/>
    <mergeCell ref="F8:G8"/>
    <mergeCell ref="H8:I8"/>
    <mergeCell ref="F9:G9"/>
    <mergeCell ref="H9:I9"/>
    <mergeCell ref="F10:G10"/>
    <mergeCell ref="H10:I10"/>
    <mergeCell ref="A1:M1"/>
    <mergeCell ref="B2:M2"/>
    <mergeCell ref="B3:M3"/>
    <mergeCell ref="A5:A6"/>
    <mergeCell ref="F5:G6"/>
    <mergeCell ref="H5:I6"/>
    <mergeCell ref="L5:L6"/>
    <mergeCell ref="M5:M6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H22:I22"/>
    <mergeCell ref="F17:G17"/>
    <mergeCell ref="H17:I17"/>
    <mergeCell ref="F18:G18"/>
    <mergeCell ref="H18:I18"/>
    <mergeCell ref="F19:G19"/>
    <mergeCell ref="H19:I19"/>
    <mergeCell ref="F26:G26"/>
    <mergeCell ref="H26:I26"/>
    <mergeCell ref="F27:G27"/>
    <mergeCell ref="H27:I27"/>
    <mergeCell ref="B4:M4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</mergeCells>
  <conditionalFormatting sqref="I32:I35">
    <cfRule type="cellIs" dxfId="16" priority="7" operator="greaterThan">
      <formula>1</formula>
    </cfRule>
  </conditionalFormatting>
  <conditionalFormatting sqref="H32:H35">
    <cfRule type="cellIs" dxfId="15" priority="6" operator="greaterThan">
      <formula>1</formula>
    </cfRule>
  </conditionalFormatting>
  <conditionalFormatting sqref="I32:I35">
    <cfRule type="cellIs" dxfId="14" priority="5" operator="greaterThan">
      <formula>1</formula>
    </cfRule>
  </conditionalFormatting>
  <dataValidations count="2">
    <dataValidation type="list" allowBlank="1" showInputMessage="1" showErrorMessage="1" errorTitle="Ungültige Eingabe" error="Bitte wählen Sie eine der Tätigkeiten aus dem Dropdown-Menü aus." sqref="A7:A22" xr:uid="{00000000-0002-0000-0400-000000000000}">
      <formula1>"Konzert regionaler Act, Konzert nationaler Act, Konzert internationaler Act,Konzert kleines Ensemble, Konzert Orchester"</formula1>
    </dataValidation>
    <dataValidation type="list" showInputMessage="1" showErrorMessage="1" error="Bitte wählen Sie eine der vorgegebenen Personenzahlen aus dem Dropdown-Menü an." sqref="B7:B22" xr:uid="{00000000-0002-0000-0400-000001000000}">
      <formula1>IF(A7="Konzert internationaler Act",regional,IF(A7="Konzert nationaler Act",regional,IF(A7="Konzert regionaler Act",regional,IF(A7="Konzert kleines Ensemble",Ensemble,IF(A7="Konzert Orchester",Orchester,0)))))</formula1>
    </dataValidation>
  </dataValidations>
  <hyperlinks>
    <hyperlink ref="A29" r:id="rId1" xr:uid="{00000000-0004-0000-0400-000001000000}"/>
    <hyperlink ref="A29:D29" r:id="rId2" display="Honorarempfehlungen music austria" xr:uid="{00000000-0004-0000-0400-000002000000}"/>
  </hyperlinks>
  <pageMargins left="0.70866141732283472" right="0.70866141732283472" top="0.78740157480314965" bottom="1.8897637795275593" header="0.31496062992125984" footer="0.31496062992125984"/>
  <pageSetup paperSize="9" scale="62" fitToHeight="2" orientation="landscape" r:id="rId3"/>
  <headerFooter>
    <oddHeader>&amp;CDatenblatt "Gerechte Entlohnung 2025" Abteilung 9 Land Steiermark
Honorare Musik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464E829D-162B-4895-99D7-624B1F661A60}">
            <xm:f>NOT(ISERROR(SEARCH("-",J7)))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J7:K22</xm:sqref>
        </x14:conditionalFormatting>
        <x14:conditionalFormatting xmlns:xm="http://schemas.microsoft.com/office/excel/2006/main">
          <x14:cfRule type="containsText" priority="14" operator="containsText" id="{AE0ED2B4-9120-4D1E-9197-F05FA1680689}">
            <xm:f>NOT(ISERROR(SEARCH("-",E7)))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E7:E22</xm:sqref>
        </x14:conditionalFormatting>
        <x14:conditionalFormatting xmlns:xm="http://schemas.microsoft.com/office/excel/2006/main">
          <x14:cfRule type="containsText" priority="4" operator="containsText" id="{A52EFCB7-5DB0-4712-98C9-AD2F8A094635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containsText" priority="3" operator="containsText" id="{29458C3E-61B7-4B3D-A46E-0F10AD37B59E}">
            <xm:f>NOT(ISERROR(SEARCH("-",F8)))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ontainsText" priority="2" operator="containsText" id="{593FA1E6-E2EF-4740-A867-4CEDC1061B05}">
            <xm:f>NOT(ISERROR(SEARCH("-",F9)))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ontainsText" priority="1" operator="containsText" id="{045260B3-B43A-4537-86E2-FE0FC8580BFA}">
            <xm:f>NOT(ISERROR(SEARCH("-",F10)))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F10:F22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S63"/>
  <sheetViews>
    <sheetView showGridLines="0" zoomScale="85" zoomScaleNormal="85" zoomScalePageLayoutView="85" workbookViewId="0">
      <selection activeCell="A40" sqref="A40"/>
    </sheetView>
  </sheetViews>
  <sheetFormatPr baseColWidth="10" defaultColWidth="0" defaultRowHeight="15" zeroHeight="1" x14ac:dyDescent="0.25"/>
  <cols>
    <col min="1" max="1" width="61.7109375" style="1" customWidth="1"/>
    <col min="2" max="2" width="18.28515625" style="8" customWidth="1"/>
    <col min="3" max="3" width="19.7109375" style="8" customWidth="1"/>
    <col min="4" max="4" width="20.42578125" style="8" customWidth="1"/>
    <col min="5" max="5" width="22.85546875" style="8" customWidth="1"/>
    <col min="6" max="6" width="18.28515625" style="8" customWidth="1"/>
    <col min="7" max="7" width="10.42578125" style="8" customWidth="1"/>
    <col min="8" max="8" width="18.28515625" style="8" customWidth="1"/>
    <col min="9" max="9" width="6.42578125" style="8" customWidth="1"/>
    <col min="10" max="10" width="18.28515625" style="8" hidden="1" customWidth="1"/>
    <col min="11" max="13" width="15.7109375" style="1" hidden="1" customWidth="1"/>
    <col min="14" max="14" width="15.7109375" style="71" customWidth="1"/>
    <col min="15" max="17" width="11.5703125" style="71" customWidth="1"/>
    <col min="18" max="19" width="11.5703125" style="71" hidden="1" customWidth="1"/>
    <col min="20" max="16384" width="11.5703125" style="1" hidden="1"/>
  </cols>
  <sheetData>
    <row r="1" spans="1:16" ht="70.5" customHeight="1" thickBot="1" x14ac:dyDescent="0.3">
      <c r="A1" s="194" t="s">
        <v>114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6"/>
      <c r="N1" s="121"/>
      <c r="O1" s="81"/>
    </row>
    <row r="2" spans="1:16" ht="28.9" customHeight="1" x14ac:dyDescent="0.25">
      <c r="A2" s="16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72"/>
      <c r="O2" s="73"/>
      <c r="P2" s="73"/>
    </row>
    <row r="3" spans="1:16" ht="28.9" customHeight="1" thickBot="1" x14ac:dyDescent="0.3">
      <c r="A3" s="69" t="s">
        <v>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8"/>
      <c r="N3" s="72"/>
      <c r="O3" s="75"/>
      <c r="P3" s="75"/>
    </row>
    <row r="4" spans="1:16" ht="31.5" customHeight="1" thickBot="1" x14ac:dyDescent="0.3">
      <c r="A4" s="2"/>
      <c r="B4" s="154" t="s">
        <v>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70"/>
      <c r="O4" s="81"/>
    </row>
    <row r="5" spans="1:16" ht="15" customHeight="1" x14ac:dyDescent="0.25">
      <c r="A5" s="185" t="s">
        <v>69</v>
      </c>
      <c r="B5" s="199" t="s">
        <v>53</v>
      </c>
      <c r="C5" s="201" t="s">
        <v>15</v>
      </c>
      <c r="D5" s="202"/>
      <c r="E5" s="214"/>
      <c r="F5" s="179" t="s">
        <v>99</v>
      </c>
      <c r="G5" s="215"/>
      <c r="H5" s="179" t="s">
        <v>25</v>
      </c>
      <c r="I5" s="180"/>
      <c r="J5" s="237"/>
      <c r="K5" s="237"/>
      <c r="L5" s="237"/>
      <c r="M5" s="209"/>
      <c r="N5" s="70"/>
      <c r="O5" s="81"/>
    </row>
    <row r="6" spans="1:16" ht="75" customHeight="1" x14ac:dyDescent="0.25">
      <c r="A6" s="186"/>
      <c r="B6" s="200"/>
      <c r="C6" s="17" t="s">
        <v>98</v>
      </c>
      <c r="D6" s="17" t="s">
        <v>97</v>
      </c>
      <c r="E6" s="36" t="s">
        <v>115</v>
      </c>
      <c r="F6" s="216"/>
      <c r="G6" s="217"/>
      <c r="H6" s="181"/>
      <c r="I6" s="182"/>
      <c r="J6" s="204"/>
      <c r="K6" s="204"/>
      <c r="L6" s="204"/>
      <c r="M6" s="210"/>
      <c r="N6" s="70"/>
    </row>
    <row r="7" spans="1:16" ht="22.7" customHeight="1" x14ac:dyDescent="0.25">
      <c r="A7" s="84"/>
      <c r="B7" s="98"/>
      <c r="C7" s="30"/>
      <c r="D7" s="91">
        <f>IFERROR(IF(A7="Einzellesung / Vortrag",460,IF(A7="Gemeinschaftslesung (2-3 Autor:innen)",290,IF(A7="Gruppenlesung (mehr als 3 Autor:innen)",230,IF(A7="Großgruppenlesung / Leseauftritte von Vereinigungen",100,IF(A7="Moderation von literarischen Veranstaltungen",290,IF(A7="Diskussionsteilnahme",230,0)))))),0)</f>
        <v>0</v>
      </c>
      <c r="E7" s="92">
        <f>IFERROR(IF(B7="",0,(C7-D7)*B7),0)</f>
        <v>0</v>
      </c>
      <c r="F7" s="164">
        <f>E7*0.243</f>
        <v>0</v>
      </c>
      <c r="G7" s="165"/>
      <c r="H7" s="157">
        <f>IFERROR((C7-D7)/C7,0)</f>
        <v>0</v>
      </c>
      <c r="I7" s="234"/>
      <c r="J7" s="33"/>
      <c r="K7" s="93"/>
      <c r="L7" s="33"/>
      <c r="M7" s="150"/>
      <c r="N7" s="70"/>
    </row>
    <row r="8" spans="1:16" ht="22.7" customHeight="1" x14ac:dyDescent="0.25">
      <c r="A8" s="84"/>
      <c r="B8" s="98"/>
      <c r="C8" s="30"/>
      <c r="D8" s="91">
        <f t="shared" ref="D8:D22" si="0">IFERROR(IF(A8="Einzellesung / Vortrag",460,IF(A8="Gemeinschaftslesung (2-3 Autor:innen)",290,IF(A8="Gruppenlesung (mehr als 3 Autor:innen)",230,IF(A8="Großgruppenlesung / Leseauftritte von Vereinigungen",100,IF(A8="Moderation von literarischen Veranstaltungen",290,IF(A8="Diskussionsteilnahme",230,0)))))),0)</f>
        <v>0</v>
      </c>
      <c r="E8" s="92">
        <f t="shared" ref="E8:E22" si="1">IFERROR(IF(B8="",0,(C8-D8)*B8),0)</f>
        <v>0</v>
      </c>
      <c r="F8" s="164">
        <f t="shared" ref="F8:F22" si="2">E8*0.243</f>
        <v>0</v>
      </c>
      <c r="G8" s="165"/>
      <c r="H8" s="157">
        <f t="shared" ref="H8:H22" si="3">IFERROR((C8-D8)/C8,0)</f>
        <v>0</v>
      </c>
      <c r="I8" s="234"/>
      <c r="J8" s="33"/>
      <c r="K8" s="93"/>
      <c r="L8" s="33"/>
      <c r="M8" s="150"/>
      <c r="N8" s="70"/>
    </row>
    <row r="9" spans="1:16" ht="22.7" customHeight="1" x14ac:dyDescent="0.25">
      <c r="A9" s="84"/>
      <c r="B9" s="98"/>
      <c r="C9" s="30"/>
      <c r="D9" s="91">
        <f t="shared" si="0"/>
        <v>0</v>
      </c>
      <c r="E9" s="92">
        <f t="shared" si="1"/>
        <v>0</v>
      </c>
      <c r="F9" s="164">
        <f t="shared" si="2"/>
        <v>0</v>
      </c>
      <c r="G9" s="165"/>
      <c r="H9" s="157">
        <f t="shared" si="3"/>
        <v>0</v>
      </c>
      <c r="I9" s="234"/>
      <c r="J9" s="33"/>
      <c r="K9" s="93"/>
      <c r="L9" s="33"/>
      <c r="M9" s="150"/>
      <c r="N9" s="70"/>
    </row>
    <row r="10" spans="1:16" ht="22.7" customHeight="1" x14ac:dyDescent="0.25">
      <c r="A10" s="84"/>
      <c r="B10" s="98"/>
      <c r="C10" s="30"/>
      <c r="D10" s="91">
        <f t="shared" si="0"/>
        <v>0</v>
      </c>
      <c r="E10" s="92">
        <f t="shared" si="1"/>
        <v>0</v>
      </c>
      <c r="F10" s="164">
        <f t="shared" si="2"/>
        <v>0</v>
      </c>
      <c r="G10" s="165"/>
      <c r="H10" s="157">
        <f t="shared" si="3"/>
        <v>0</v>
      </c>
      <c r="I10" s="234"/>
      <c r="J10" s="33"/>
      <c r="K10" s="93"/>
      <c r="L10" s="33"/>
      <c r="M10" s="150"/>
      <c r="N10" s="70"/>
    </row>
    <row r="11" spans="1:16" ht="22.7" customHeight="1" x14ac:dyDescent="0.25">
      <c r="A11" s="84"/>
      <c r="B11" s="98"/>
      <c r="C11" s="30"/>
      <c r="D11" s="91">
        <f t="shared" si="0"/>
        <v>0</v>
      </c>
      <c r="E11" s="92">
        <f t="shared" si="1"/>
        <v>0</v>
      </c>
      <c r="F11" s="164">
        <f t="shared" si="2"/>
        <v>0</v>
      </c>
      <c r="G11" s="165"/>
      <c r="H11" s="157">
        <f t="shared" si="3"/>
        <v>0</v>
      </c>
      <c r="I11" s="234"/>
      <c r="J11" s="33"/>
      <c r="K11" s="93"/>
      <c r="L11" s="33"/>
      <c r="M11" s="150"/>
      <c r="N11" s="70"/>
    </row>
    <row r="12" spans="1:16" ht="22.7" customHeight="1" x14ac:dyDescent="0.25">
      <c r="A12" s="84"/>
      <c r="B12" s="98"/>
      <c r="C12" s="30"/>
      <c r="D12" s="91">
        <f t="shared" si="0"/>
        <v>0</v>
      </c>
      <c r="E12" s="92">
        <f t="shared" si="1"/>
        <v>0</v>
      </c>
      <c r="F12" s="164">
        <f t="shared" si="2"/>
        <v>0</v>
      </c>
      <c r="G12" s="165"/>
      <c r="H12" s="157">
        <f t="shared" si="3"/>
        <v>0</v>
      </c>
      <c r="I12" s="234"/>
      <c r="J12" s="33"/>
      <c r="K12" s="93"/>
      <c r="L12" s="33"/>
      <c r="M12" s="150"/>
      <c r="N12" s="70"/>
    </row>
    <row r="13" spans="1:16" ht="22.7" customHeight="1" x14ac:dyDescent="0.25">
      <c r="A13" s="84"/>
      <c r="B13" s="98"/>
      <c r="C13" s="30"/>
      <c r="D13" s="91">
        <f t="shared" si="0"/>
        <v>0</v>
      </c>
      <c r="E13" s="92">
        <f t="shared" si="1"/>
        <v>0</v>
      </c>
      <c r="F13" s="164">
        <f t="shared" si="2"/>
        <v>0</v>
      </c>
      <c r="G13" s="165"/>
      <c r="H13" s="157">
        <f t="shared" si="3"/>
        <v>0</v>
      </c>
      <c r="I13" s="234"/>
      <c r="J13" s="33"/>
      <c r="K13" s="93"/>
      <c r="L13" s="33"/>
      <c r="M13" s="150"/>
      <c r="N13" s="70"/>
    </row>
    <row r="14" spans="1:16" ht="22.7" customHeight="1" x14ac:dyDescent="0.25">
      <c r="A14" s="84"/>
      <c r="B14" s="98"/>
      <c r="C14" s="30"/>
      <c r="D14" s="91">
        <f t="shared" si="0"/>
        <v>0</v>
      </c>
      <c r="E14" s="92">
        <f t="shared" si="1"/>
        <v>0</v>
      </c>
      <c r="F14" s="164">
        <f t="shared" si="2"/>
        <v>0</v>
      </c>
      <c r="G14" s="165"/>
      <c r="H14" s="157">
        <f t="shared" si="3"/>
        <v>0</v>
      </c>
      <c r="I14" s="234"/>
      <c r="J14" s="33"/>
      <c r="K14" s="93"/>
      <c r="L14" s="33"/>
      <c r="M14" s="150"/>
      <c r="N14" s="70"/>
    </row>
    <row r="15" spans="1:16" ht="22.7" customHeight="1" x14ac:dyDescent="0.25">
      <c r="A15" s="84"/>
      <c r="B15" s="98"/>
      <c r="C15" s="30"/>
      <c r="D15" s="91">
        <f t="shared" si="0"/>
        <v>0</v>
      </c>
      <c r="E15" s="92">
        <f t="shared" si="1"/>
        <v>0</v>
      </c>
      <c r="F15" s="164">
        <f t="shared" si="2"/>
        <v>0</v>
      </c>
      <c r="G15" s="165"/>
      <c r="H15" s="157">
        <f t="shared" si="3"/>
        <v>0</v>
      </c>
      <c r="I15" s="234"/>
      <c r="J15" s="33"/>
      <c r="K15" s="93"/>
      <c r="L15" s="33"/>
      <c r="M15" s="150"/>
      <c r="N15" s="70"/>
    </row>
    <row r="16" spans="1:16" ht="22.7" customHeight="1" x14ac:dyDescent="0.25">
      <c r="A16" s="84"/>
      <c r="B16" s="98"/>
      <c r="C16" s="30"/>
      <c r="D16" s="91">
        <f t="shared" si="0"/>
        <v>0</v>
      </c>
      <c r="E16" s="92">
        <f t="shared" si="1"/>
        <v>0</v>
      </c>
      <c r="F16" s="164">
        <f t="shared" si="2"/>
        <v>0</v>
      </c>
      <c r="G16" s="165"/>
      <c r="H16" s="157">
        <f t="shared" si="3"/>
        <v>0</v>
      </c>
      <c r="I16" s="234"/>
      <c r="J16" s="33"/>
      <c r="K16" s="93"/>
      <c r="L16" s="33"/>
      <c r="M16" s="150"/>
      <c r="N16" s="70"/>
    </row>
    <row r="17" spans="1:14" ht="22.7" customHeight="1" x14ac:dyDescent="0.25">
      <c r="A17" s="84"/>
      <c r="B17" s="98"/>
      <c r="C17" s="30"/>
      <c r="D17" s="91">
        <f t="shared" si="0"/>
        <v>0</v>
      </c>
      <c r="E17" s="92">
        <f t="shared" si="1"/>
        <v>0</v>
      </c>
      <c r="F17" s="164">
        <f t="shared" si="2"/>
        <v>0</v>
      </c>
      <c r="G17" s="165"/>
      <c r="H17" s="157">
        <f t="shared" si="3"/>
        <v>0</v>
      </c>
      <c r="I17" s="234"/>
      <c r="J17" s="33"/>
      <c r="K17" s="93"/>
      <c r="L17" s="33"/>
      <c r="M17" s="150"/>
      <c r="N17" s="70"/>
    </row>
    <row r="18" spans="1:14" ht="22.7" customHeight="1" x14ac:dyDescent="0.25">
      <c r="A18" s="84"/>
      <c r="B18" s="98"/>
      <c r="C18" s="30"/>
      <c r="D18" s="91">
        <f t="shared" si="0"/>
        <v>0</v>
      </c>
      <c r="E18" s="92">
        <f t="shared" si="1"/>
        <v>0</v>
      </c>
      <c r="F18" s="164">
        <f t="shared" si="2"/>
        <v>0</v>
      </c>
      <c r="G18" s="165"/>
      <c r="H18" s="157">
        <f t="shared" si="3"/>
        <v>0</v>
      </c>
      <c r="I18" s="234"/>
      <c r="J18" s="33"/>
      <c r="K18" s="93"/>
      <c r="L18" s="33"/>
      <c r="M18" s="150"/>
      <c r="N18" s="70"/>
    </row>
    <row r="19" spans="1:14" ht="22.7" customHeight="1" x14ac:dyDescent="0.25">
      <c r="A19" s="84"/>
      <c r="B19" s="98"/>
      <c r="C19" s="30"/>
      <c r="D19" s="91">
        <f t="shared" si="0"/>
        <v>0</v>
      </c>
      <c r="E19" s="92">
        <f t="shared" si="1"/>
        <v>0</v>
      </c>
      <c r="F19" s="164">
        <f t="shared" si="2"/>
        <v>0</v>
      </c>
      <c r="G19" s="165"/>
      <c r="H19" s="157">
        <f t="shared" si="3"/>
        <v>0</v>
      </c>
      <c r="I19" s="234"/>
      <c r="J19" s="33"/>
      <c r="K19" s="93"/>
      <c r="L19" s="33"/>
      <c r="M19" s="150"/>
      <c r="N19" s="70"/>
    </row>
    <row r="20" spans="1:14" ht="22.7" customHeight="1" x14ac:dyDescent="0.25">
      <c r="A20" s="84"/>
      <c r="B20" s="98"/>
      <c r="C20" s="30"/>
      <c r="D20" s="91">
        <f t="shared" si="0"/>
        <v>0</v>
      </c>
      <c r="E20" s="92">
        <f t="shared" si="1"/>
        <v>0</v>
      </c>
      <c r="F20" s="164">
        <f t="shared" si="2"/>
        <v>0</v>
      </c>
      <c r="G20" s="165"/>
      <c r="H20" s="157">
        <f t="shared" si="3"/>
        <v>0</v>
      </c>
      <c r="I20" s="234"/>
      <c r="J20" s="33"/>
      <c r="K20" s="93"/>
      <c r="L20" s="33"/>
      <c r="M20" s="150"/>
      <c r="N20" s="70"/>
    </row>
    <row r="21" spans="1:14" ht="22.7" customHeight="1" x14ac:dyDescent="0.25">
      <c r="A21" s="84"/>
      <c r="B21" s="98"/>
      <c r="C21" s="30"/>
      <c r="D21" s="91">
        <f t="shared" si="0"/>
        <v>0</v>
      </c>
      <c r="E21" s="92">
        <f t="shared" si="1"/>
        <v>0</v>
      </c>
      <c r="F21" s="164">
        <f t="shared" si="2"/>
        <v>0</v>
      </c>
      <c r="G21" s="165"/>
      <c r="H21" s="157">
        <f t="shared" si="3"/>
        <v>0</v>
      </c>
      <c r="I21" s="234"/>
      <c r="J21" s="33"/>
      <c r="K21" s="93"/>
      <c r="L21" s="33"/>
      <c r="M21" s="150"/>
      <c r="N21" s="70"/>
    </row>
    <row r="22" spans="1:14" ht="22.7" customHeight="1" x14ac:dyDescent="0.25">
      <c r="A22" s="84"/>
      <c r="B22" s="98"/>
      <c r="C22" s="30"/>
      <c r="D22" s="91">
        <f t="shared" si="0"/>
        <v>0</v>
      </c>
      <c r="E22" s="92">
        <f t="shared" si="1"/>
        <v>0</v>
      </c>
      <c r="F22" s="164">
        <f t="shared" si="2"/>
        <v>0</v>
      </c>
      <c r="G22" s="165"/>
      <c r="H22" s="157">
        <f t="shared" si="3"/>
        <v>0</v>
      </c>
      <c r="I22" s="234"/>
      <c r="J22" s="33"/>
      <c r="K22" s="93"/>
      <c r="L22" s="33"/>
      <c r="M22" s="150"/>
      <c r="N22" s="70"/>
    </row>
    <row r="23" spans="1:14" x14ac:dyDescent="0.25">
      <c r="A23" s="66" t="s">
        <v>82</v>
      </c>
      <c r="B23" s="99"/>
      <c r="C23" s="39"/>
      <c r="D23" s="39"/>
      <c r="E23" s="39"/>
      <c r="F23" s="159"/>
      <c r="G23" s="213"/>
      <c r="H23" s="159"/>
      <c r="I23" s="213"/>
      <c r="J23" s="40"/>
      <c r="K23" s="41"/>
      <c r="L23" s="39"/>
      <c r="M23" s="148"/>
      <c r="N23" s="70"/>
    </row>
    <row r="24" spans="1:14" x14ac:dyDescent="0.25">
      <c r="A24" s="66" t="s">
        <v>85</v>
      </c>
      <c r="B24" s="99"/>
      <c r="C24" s="38"/>
      <c r="D24" s="39"/>
      <c r="E24" s="39"/>
      <c r="F24" s="159"/>
      <c r="G24" s="213"/>
      <c r="H24" s="159"/>
      <c r="I24" s="213"/>
      <c r="J24" s="40"/>
      <c r="K24" s="40"/>
      <c r="L24" s="41"/>
      <c r="M24" s="41"/>
      <c r="N24" s="70"/>
    </row>
    <row r="25" spans="1:14" x14ac:dyDescent="0.25">
      <c r="A25" s="66" t="s">
        <v>83</v>
      </c>
      <c r="B25" s="99"/>
      <c r="C25" s="39"/>
      <c r="D25" s="39"/>
      <c r="E25" s="39"/>
      <c r="F25" s="159"/>
      <c r="G25" s="213"/>
      <c r="H25" s="159"/>
      <c r="I25" s="213"/>
      <c r="J25" s="40"/>
      <c r="K25" s="41"/>
      <c r="L25" s="39"/>
      <c r="M25" s="148"/>
      <c r="N25" s="70"/>
    </row>
    <row r="26" spans="1:14" x14ac:dyDescent="0.25">
      <c r="A26" s="66" t="s">
        <v>84</v>
      </c>
      <c r="B26" s="100"/>
      <c r="C26" s="44"/>
      <c r="D26" s="44"/>
      <c r="E26" s="44"/>
      <c r="F26" s="159"/>
      <c r="G26" s="213"/>
      <c r="H26" s="159"/>
      <c r="I26" s="213"/>
      <c r="J26" s="40"/>
      <c r="K26" s="41"/>
      <c r="L26" s="39"/>
      <c r="M26" s="148"/>
      <c r="N26" s="70"/>
    </row>
    <row r="27" spans="1:14" ht="15.75" thickBot="1" x14ac:dyDescent="0.3">
      <c r="A27" s="67" t="s">
        <v>3</v>
      </c>
      <c r="B27" s="101">
        <f>SUM(B7:B22)</f>
        <v>0</v>
      </c>
      <c r="C27" s="32">
        <f>SUM(C7:C22)</f>
        <v>0</v>
      </c>
      <c r="D27" s="32">
        <f>SUM(D7:D22)</f>
        <v>0</v>
      </c>
      <c r="E27" s="31">
        <f>SUMIF(E7:E22,"&lt;0",E7:E22)</f>
        <v>0</v>
      </c>
      <c r="F27" s="152">
        <f t="shared" ref="F27" si="4">SUMIF(F7:F22,"&lt;0",F7:F22)</f>
        <v>0</v>
      </c>
      <c r="G27" s="163"/>
      <c r="H27" s="152" t="s">
        <v>36</v>
      </c>
      <c r="I27" s="163"/>
      <c r="J27" s="51">
        <f t="shared" ref="J27:M27" si="5">SUM(J7:J22)</f>
        <v>0</v>
      </c>
      <c r="K27" s="45">
        <f t="shared" si="5"/>
        <v>0</v>
      </c>
      <c r="L27" s="46">
        <f t="shared" si="5"/>
        <v>0</v>
      </c>
      <c r="M27" s="151">
        <f t="shared" si="5"/>
        <v>0</v>
      </c>
      <c r="N27" s="70"/>
    </row>
    <row r="28" spans="1:14" ht="15" customHeight="1" x14ac:dyDescent="0.25">
      <c r="A28" s="222" t="s">
        <v>89</v>
      </c>
      <c r="B28" s="223"/>
      <c r="C28" s="223"/>
      <c r="D28" s="86"/>
      <c r="E28" s="238" t="s">
        <v>20</v>
      </c>
      <c r="F28" s="238"/>
      <c r="G28" s="238"/>
      <c r="H28" s="123"/>
      <c r="I28" s="123"/>
      <c r="J28" s="103"/>
      <c r="K28" s="71"/>
      <c r="L28" s="71"/>
      <c r="M28" s="71"/>
    </row>
    <row r="29" spans="1:14" ht="15" customHeight="1" x14ac:dyDescent="0.25">
      <c r="A29" s="90" t="s">
        <v>86</v>
      </c>
      <c r="B29" s="50"/>
      <c r="C29" s="50"/>
      <c r="D29" s="88"/>
      <c r="E29" s="88"/>
      <c r="F29" s="104"/>
      <c r="G29" s="104"/>
      <c r="H29" s="104"/>
      <c r="I29" s="104"/>
      <c r="J29" s="105"/>
      <c r="K29" s="71"/>
      <c r="L29" s="71"/>
      <c r="M29" s="71"/>
    </row>
    <row r="30" spans="1:14" ht="57.6" customHeight="1" thickBot="1" x14ac:dyDescent="0.3">
      <c r="A30" s="225" t="s">
        <v>95</v>
      </c>
      <c r="B30" s="226"/>
      <c r="C30" s="226"/>
      <c r="D30" s="226"/>
      <c r="E30" s="122"/>
      <c r="F30" s="106"/>
      <c r="G30" s="106"/>
      <c r="H30" s="106"/>
      <c r="I30" s="106"/>
      <c r="J30" s="107"/>
      <c r="K30" s="71"/>
      <c r="L30" s="71"/>
      <c r="M30" s="71"/>
    </row>
    <row r="31" spans="1:14" ht="105" x14ac:dyDescent="0.25">
      <c r="A31" s="21" t="s">
        <v>4</v>
      </c>
      <c r="B31" s="22" t="s">
        <v>5</v>
      </c>
      <c r="C31" s="22" t="s">
        <v>6</v>
      </c>
      <c r="D31" s="22" t="s">
        <v>7</v>
      </c>
      <c r="E31" s="22" t="s">
        <v>8</v>
      </c>
      <c r="F31" s="22" t="s">
        <v>9</v>
      </c>
      <c r="G31" s="22" t="s">
        <v>10</v>
      </c>
      <c r="H31" s="22" t="s">
        <v>11</v>
      </c>
      <c r="I31" s="22" t="s">
        <v>51</v>
      </c>
      <c r="J31" s="124"/>
      <c r="K31" s="71"/>
      <c r="L31" s="71"/>
      <c r="M31" s="71"/>
    </row>
    <row r="32" spans="1:14" ht="22.5" customHeight="1" x14ac:dyDescent="0.25">
      <c r="A32" s="18">
        <v>2022</v>
      </c>
      <c r="B32" s="48"/>
      <c r="C32" s="48"/>
      <c r="D32" s="96">
        <f>IFERROR(C32/B32,0)</f>
        <v>0</v>
      </c>
      <c r="E32" s="48"/>
      <c r="F32" s="96">
        <f>IFERROR(E32/B32,0)</f>
        <v>0</v>
      </c>
      <c r="G32" s="48"/>
      <c r="H32" s="96">
        <f>IFERROR(G32/B32,0)</f>
        <v>0</v>
      </c>
      <c r="I32" s="96">
        <f>D32+F32+H32</f>
        <v>0</v>
      </c>
      <c r="J32" s="131"/>
      <c r="K32" s="71"/>
      <c r="L32" s="71"/>
      <c r="M32" s="71"/>
    </row>
    <row r="33" spans="1:19" ht="22.5" customHeight="1" x14ac:dyDescent="0.25">
      <c r="A33" s="18">
        <v>2023</v>
      </c>
      <c r="B33" s="48"/>
      <c r="C33" s="48"/>
      <c r="D33" s="96">
        <f t="shared" ref="D33:D35" si="6">IFERROR(C33/B33,0)</f>
        <v>0</v>
      </c>
      <c r="E33" s="48"/>
      <c r="F33" s="96">
        <f>IFERROR(E33/B33,0)</f>
        <v>0</v>
      </c>
      <c r="G33" s="48"/>
      <c r="H33" s="96">
        <f>IFERROR(G33/B33,0)</f>
        <v>0</v>
      </c>
      <c r="I33" s="96">
        <f t="shared" ref="I33:I35" si="7">D33+F33+H33</f>
        <v>0</v>
      </c>
      <c r="J33" s="131"/>
      <c r="K33" s="71"/>
      <c r="L33" s="71"/>
      <c r="M33" s="71"/>
    </row>
    <row r="34" spans="1:19" ht="22.5" customHeight="1" x14ac:dyDescent="0.25">
      <c r="A34" s="19">
        <v>2024</v>
      </c>
      <c r="B34" s="48"/>
      <c r="C34" s="48"/>
      <c r="D34" s="96">
        <f t="shared" si="6"/>
        <v>0</v>
      </c>
      <c r="E34" s="48"/>
      <c r="F34" s="96">
        <f>IFERROR(E34/B34,0)</f>
        <v>0</v>
      </c>
      <c r="G34" s="48"/>
      <c r="H34" s="96">
        <f t="shared" ref="H34:H35" si="8">IFERROR(G34/B34,0)</f>
        <v>0</v>
      </c>
      <c r="I34" s="96">
        <f t="shared" si="7"/>
        <v>0</v>
      </c>
      <c r="J34" s="132"/>
      <c r="K34" s="71"/>
      <c r="L34" s="71"/>
      <c r="M34" s="71"/>
    </row>
    <row r="35" spans="1:19" ht="22.5" customHeight="1" thickBot="1" x14ac:dyDescent="0.3">
      <c r="A35" s="20" t="s">
        <v>81</v>
      </c>
      <c r="B35" s="48"/>
      <c r="C35" s="48"/>
      <c r="D35" s="96">
        <f t="shared" si="6"/>
        <v>0</v>
      </c>
      <c r="E35" s="48"/>
      <c r="F35" s="96">
        <f>IFERROR(E35/B35,0)</f>
        <v>0</v>
      </c>
      <c r="G35" s="48"/>
      <c r="H35" s="97">
        <f t="shared" si="8"/>
        <v>0</v>
      </c>
      <c r="I35" s="97">
        <f t="shared" si="7"/>
        <v>0</v>
      </c>
      <c r="J35" s="133"/>
      <c r="K35" s="71"/>
      <c r="L35" s="71"/>
      <c r="M35" s="71"/>
    </row>
    <row r="36" spans="1:19" s="6" customFormat="1" ht="15.75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5"/>
      <c r="K36" s="71"/>
      <c r="L36" s="71"/>
      <c r="M36" s="71"/>
      <c r="N36" s="71"/>
      <c r="O36" s="71"/>
      <c r="P36" s="71"/>
      <c r="Q36" s="71"/>
      <c r="R36" s="71"/>
      <c r="S36" s="71"/>
    </row>
    <row r="37" spans="1:19" ht="15.75" customHeight="1" x14ac:dyDescent="0.25">
      <c r="A37" s="218" t="s">
        <v>12</v>
      </c>
      <c r="B37" s="224" t="s">
        <v>13</v>
      </c>
      <c r="C37" s="190"/>
      <c r="D37" s="190"/>
      <c r="E37" s="190"/>
      <c r="F37" s="190"/>
      <c r="G37" s="190"/>
      <c r="H37" s="190"/>
      <c r="I37" s="190"/>
      <c r="J37" s="191"/>
      <c r="K37" s="71"/>
      <c r="L37" s="71"/>
      <c r="M37" s="71"/>
    </row>
    <row r="38" spans="1:19" ht="50.25" customHeight="1" thickBot="1" x14ac:dyDescent="0.3">
      <c r="A38" s="219"/>
      <c r="B38" s="220"/>
      <c r="C38" s="220"/>
      <c r="D38" s="220"/>
      <c r="E38" s="220"/>
      <c r="F38" s="220"/>
      <c r="G38" s="220"/>
      <c r="H38" s="220"/>
      <c r="I38" s="220"/>
      <c r="J38" s="221"/>
      <c r="K38" s="71"/>
      <c r="L38" s="71"/>
      <c r="M38" s="71"/>
    </row>
    <row r="39" spans="1:19" s="6" customFormat="1" ht="15.75" thickBot="1" x14ac:dyDescent="0.3">
      <c r="A39" s="7"/>
      <c r="B39" s="4"/>
      <c r="C39" s="4"/>
      <c r="D39" s="4"/>
      <c r="E39" s="4"/>
      <c r="F39" s="4"/>
      <c r="G39" s="4"/>
      <c r="H39" s="4"/>
      <c r="I39" s="4"/>
      <c r="J39" s="4"/>
      <c r="K39" s="71"/>
      <c r="L39" s="71"/>
      <c r="M39" s="71"/>
      <c r="N39" s="71"/>
      <c r="O39" s="71"/>
      <c r="P39" s="71"/>
      <c r="Q39" s="71"/>
      <c r="R39" s="71"/>
      <c r="S39" s="71"/>
    </row>
    <row r="40" spans="1:19" ht="60" customHeight="1" thickBot="1" x14ac:dyDescent="0.3">
      <c r="A40" s="147" t="s">
        <v>109</v>
      </c>
      <c r="B40" s="167"/>
      <c r="C40" s="167"/>
      <c r="D40" s="167"/>
      <c r="E40" s="167"/>
      <c r="F40" s="167"/>
      <c r="G40" s="167"/>
      <c r="H40" s="167"/>
      <c r="I40" s="167"/>
      <c r="J40" s="168"/>
      <c r="K40" s="71"/>
      <c r="L40" s="71"/>
      <c r="M40" s="71"/>
    </row>
    <row r="41" spans="1:19" s="71" customFormat="1" x14ac:dyDescent="0.25">
      <c r="B41" s="80"/>
      <c r="C41" s="80"/>
      <c r="D41" s="80"/>
      <c r="E41" s="80"/>
      <c r="F41" s="80"/>
      <c r="G41" s="80"/>
      <c r="H41" s="80"/>
      <c r="I41" s="80"/>
      <c r="J41" s="80"/>
    </row>
    <row r="42" spans="1:19" s="71" customFormat="1" x14ac:dyDescent="0.25">
      <c r="A42" s="81"/>
      <c r="B42" s="82"/>
      <c r="C42" s="80"/>
      <c r="D42" s="80"/>
      <c r="E42" s="80"/>
      <c r="F42" s="80"/>
      <c r="G42" s="80"/>
      <c r="H42" s="80"/>
      <c r="I42" s="80"/>
      <c r="J42" s="80"/>
    </row>
    <row r="43" spans="1:19" s="71" customFormat="1" x14ac:dyDescent="0.25">
      <c r="A43" s="83"/>
      <c r="B43" s="82"/>
      <c r="C43" s="80"/>
      <c r="D43" s="80"/>
      <c r="E43" s="80"/>
      <c r="F43" s="80"/>
      <c r="G43" s="80"/>
      <c r="H43" s="80"/>
      <c r="I43" s="80"/>
      <c r="J43" s="80"/>
    </row>
    <row r="44" spans="1:19" s="71" customFormat="1" x14ac:dyDescent="0.25">
      <c r="A44" s="83"/>
      <c r="B44" s="82"/>
      <c r="C44" s="80"/>
      <c r="D44" s="80"/>
      <c r="E44" s="80"/>
      <c r="F44" s="80"/>
      <c r="G44" s="80"/>
      <c r="H44" s="80"/>
      <c r="I44" s="80"/>
      <c r="J44" s="80"/>
    </row>
    <row r="45" spans="1:19" s="71" customFormat="1" x14ac:dyDescent="0.25">
      <c r="A45" s="83"/>
      <c r="B45" s="82"/>
      <c r="C45" s="80"/>
      <c r="D45" s="80"/>
      <c r="E45" s="80"/>
      <c r="F45" s="80"/>
      <c r="G45" s="80"/>
      <c r="H45" s="80"/>
      <c r="I45" s="80"/>
      <c r="J45" s="80"/>
    </row>
    <row r="46" spans="1:19" s="71" customFormat="1" x14ac:dyDescent="0.25">
      <c r="A46" s="83"/>
      <c r="B46" s="82"/>
      <c r="C46" s="80"/>
      <c r="D46" s="80"/>
      <c r="E46" s="80"/>
      <c r="F46" s="80"/>
      <c r="G46" s="80"/>
      <c r="H46" s="80"/>
      <c r="I46" s="80"/>
      <c r="J46" s="80"/>
    </row>
    <row r="47" spans="1:19" hidden="1" x14ac:dyDescent="0.25">
      <c r="A47" s="29"/>
      <c r="B47" s="28"/>
    </row>
    <row r="48" spans="1:19" hidden="1" x14ac:dyDescent="0.25">
      <c r="A48" s="29"/>
      <c r="B48" s="28"/>
    </row>
    <row r="49" spans="1:10" hidden="1" x14ac:dyDescent="0.25">
      <c r="A49" s="29"/>
      <c r="B49" s="28"/>
    </row>
    <row r="50" spans="1:10" hidden="1" x14ac:dyDescent="0.25">
      <c r="A50" s="29"/>
      <c r="B50" s="28"/>
    </row>
    <row r="51" spans="1:10" hidden="1" x14ac:dyDescent="0.25">
      <c r="A51" s="29"/>
      <c r="B51" s="28"/>
    </row>
    <row r="52" spans="1:10" hidden="1" x14ac:dyDescent="0.25">
      <c r="A52" s="27"/>
      <c r="B52" s="28"/>
    </row>
    <row r="53" spans="1:10" hidden="1" x14ac:dyDescent="0.25">
      <c r="A53" s="27"/>
      <c r="B53" s="28"/>
    </row>
    <row r="54" spans="1:10" hidden="1" x14ac:dyDescent="0.25">
      <c r="A54" s="27"/>
      <c r="B54" s="28"/>
    </row>
    <row r="55" spans="1:10" s="71" customFormat="1" x14ac:dyDescent="0.25">
      <c r="B55" s="80"/>
      <c r="C55" s="80"/>
      <c r="D55" s="80"/>
      <c r="E55" s="80"/>
      <c r="F55" s="80"/>
      <c r="G55" s="80"/>
      <c r="H55" s="80"/>
      <c r="I55" s="80"/>
      <c r="J55" s="80"/>
    </row>
    <row r="56" spans="1:10" s="71" customFormat="1" x14ac:dyDescent="0.25">
      <c r="B56" s="80"/>
      <c r="C56" s="80"/>
      <c r="D56" s="80"/>
      <c r="E56" s="80"/>
      <c r="F56" s="80"/>
      <c r="G56" s="80"/>
      <c r="H56" s="80"/>
      <c r="I56" s="80"/>
      <c r="J56" s="80"/>
    </row>
    <row r="57" spans="1:10" s="71" customFormat="1" x14ac:dyDescent="0.25">
      <c r="B57" s="80"/>
      <c r="C57" s="80"/>
      <c r="D57" s="80"/>
      <c r="E57" s="80"/>
      <c r="F57" s="80"/>
      <c r="G57" s="80"/>
      <c r="H57" s="80"/>
      <c r="I57" s="80"/>
      <c r="J57" s="80"/>
    </row>
    <row r="58" spans="1:10" s="71" customFormat="1" x14ac:dyDescent="0.25">
      <c r="B58" s="80"/>
      <c r="C58" s="80"/>
      <c r="D58" s="80"/>
      <c r="E58" s="80"/>
      <c r="F58" s="80"/>
      <c r="G58" s="80"/>
      <c r="H58" s="80"/>
      <c r="I58" s="80"/>
      <c r="J58" s="80"/>
    </row>
    <row r="59" spans="1:10" s="71" customFormat="1" x14ac:dyDescent="0.25">
      <c r="B59" s="80"/>
      <c r="C59" s="80"/>
      <c r="D59" s="80"/>
      <c r="E59" s="80"/>
      <c r="F59" s="80"/>
      <c r="G59" s="80"/>
      <c r="H59" s="80"/>
      <c r="I59" s="80"/>
      <c r="J59" s="80"/>
    </row>
    <row r="60" spans="1:10" x14ac:dyDescent="0.25"/>
    <row r="62" spans="1:10" x14ac:dyDescent="0.25"/>
    <row r="63" spans="1:10" x14ac:dyDescent="0.25"/>
  </sheetData>
  <sheetProtection algorithmName="SHA-512" hashValue="sHSVXCbcAldIBbcVDsLjaxRbAvhwUXFdGErDLzCJLKkvivQryAC+1k8kzJ1QhTXpdfBRdbbEJZNlGIGPd6DXcg==" saltValue="8i59VXYxXs0IEhsgqeotjA==" spinCount="100000" sheet="1" objects="1" scenarios="1"/>
  <protectedRanges>
    <protectedRange sqref="A7:A22" name="Bereich1"/>
    <protectedRange sqref="A25" name="Bereich1_1_1"/>
  </protectedRanges>
  <mergeCells count="61">
    <mergeCell ref="B40:J40"/>
    <mergeCell ref="A28:C28"/>
    <mergeCell ref="A37:A38"/>
    <mergeCell ref="B37:J37"/>
    <mergeCell ref="B38:J38"/>
    <mergeCell ref="A30:D30"/>
    <mergeCell ref="E28:G28"/>
    <mergeCell ref="H11:I11"/>
    <mergeCell ref="A1:M1"/>
    <mergeCell ref="B3:M3"/>
    <mergeCell ref="C5:E5"/>
    <mergeCell ref="K5:K6"/>
    <mergeCell ref="L5:L6"/>
    <mergeCell ref="M5:M6"/>
    <mergeCell ref="A5:A6"/>
    <mergeCell ref="B5:B6"/>
    <mergeCell ref="J5:J6"/>
    <mergeCell ref="B4:M4"/>
    <mergeCell ref="F5:G6"/>
    <mergeCell ref="F7:G7"/>
    <mergeCell ref="F8:G8"/>
    <mergeCell ref="F9:G9"/>
    <mergeCell ref="H26:I26"/>
    <mergeCell ref="H17:I17"/>
    <mergeCell ref="H18:I18"/>
    <mergeCell ref="H19:I19"/>
    <mergeCell ref="H20:I20"/>
    <mergeCell ref="H21:I21"/>
    <mergeCell ref="H22:I22"/>
    <mergeCell ref="H9:I9"/>
    <mergeCell ref="F24:G24"/>
    <mergeCell ref="F25:G25"/>
    <mergeCell ref="F15:G15"/>
    <mergeCell ref="F16:G16"/>
    <mergeCell ref="F17:G17"/>
    <mergeCell ref="F18:G18"/>
    <mergeCell ref="H23:I23"/>
    <mergeCell ref="H24:I24"/>
    <mergeCell ref="H25:I25"/>
    <mergeCell ref="H12:I12"/>
    <mergeCell ref="H13:I13"/>
    <mergeCell ref="H14:I14"/>
    <mergeCell ref="H15:I15"/>
    <mergeCell ref="H16:I16"/>
    <mergeCell ref="H10:I10"/>
    <mergeCell ref="F26:G26"/>
    <mergeCell ref="F27:G27"/>
    <mergeCell ref="H5:I6"/>
    <mergeCell ref="F19:G19"/>
    <mergeCell ref="F20:G20"/>
    <mergeCell ref="F21:G21"/>
    <mergeCell ref="F22:G22"/>
    <mergeCell ref="F23:G23"/>
    <mergeCell ref="H27:I27"/>
    <mergeCell ref="F10:G10"/>
    <mergeCell ref="F11:G11"/>
    <mergeCell ref="F12:G12"/>
    <mergeCell ref="F13:G13"/>
    <mergeCell ref="F14:G14"/>
    <mergeCell ref="H7:I7"/>
    <mergeCell ref="H8:I8"/>
  </mergeCells>
  <conditionalFormatting sqref="I32:I35">
    <cfRule type="cellIs" dxfId="7" priority="11" operator="greaterThan">
      <formula>1</formula>
    </cfRule>
  </conditionalFormatting>
  <conditionalFormatting sqref="H32:H35">
    <cfRule type="cellIs" dxfId="6" priority="5" operator="greaterThan">
      <formula>1</formula>
    </cfRule>
  </conditionalFormatting>
  <conditionalFormatting sqref="I32:I35">
    <cfRule type="cellIs" dxfId="5" priority="4" operator="greaterThan">
      <formula>1</formula>
    </cfRule>
  </conditionalFormatting>
  <dataValidations count="2">
    <dataValidation type="list" allowBlank="1" showInputMessage="1" showErrorMessage="1" errorTitle="Ungültige Eingabe" error="Bitte wählen Sie eine der Tätigkeiten aus dem Dropdown-Menü aus." sqref="A7:A22" xr:uid="{00000000-0002-0000-0500-000000000000}">
      <formula1>"Einzellesung / Vortrag, Gemeinschaftslesung (2-3 Autor:innen), Gruppenlesung (mehr als 3 Autor:innen), Großgruppenlesung / Leseauftritte von Vereinigungen, Moderation von literarischen Veranstaltungen, Diskussionsteilnahme"</formula1>
    </dataValidation>
    <dataValidation showInputMessage="1" showErrorMessage="1" sqref="B7:B22" xr:uid="{00000000-0002-0000-0500-000001000000}"/>
  </dataValidations>
  <hyperlinks>
    <hyperlink ref="A29" r:id="rId1" display="Honorarempfehlungen des Literaturhaus Wien" xr:uid="{00000000-0004-0000-0500-000000000000}"/>
  </hyperlinks>
  <pageMargins left="0.70866141732283472" right="0.70866141732283472" top="0.78740157480314965" bottom="1.8897637795275593" header="0.31496062992125984" footer="0.31496062992125984"/>
  <pageSetup paperSize="9" scale="57" fitToHeight="2" orientation="landscape" r:id="rId2"/>
  <headerFooter>
    <oddHeader>&amp;CDatenblatt "Gerechte Entlohnung 2025" Abteilung 9 Land Steiermark
Honorare Literatur</oddHeader>
    <oddFooter>&amp;CSeite &amp;P von &amp;N&amp;RStand 26.1.2024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B4A6C961-E2D0-4CA3-9D76-211BCF9B89DE}">
            <xm:f>NOT(ISERROR(SEARCH("-",F7)))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containsText" priority="7" operator="containsText" id="{6D0FCB75-F8B3-44BB-8F0B-2B2CA2E74314}">
            <xm:f>NOT(ISERROR(SEARCH("-",E7)))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E7:E22</xm:sqref>
        </x14:conditionalFormatting>
        <x14:conditionalFormatting xmlns:xm="http://schemas.microsoft.com/office/excel/2006/main">
          <x14:cfRule type="containsText" priority="3" operator="containsText" id="{F64C6ED0-D60D-4561-BC75-9BEFB335FAB1}">
            <xm:f>NOT(ISERROR(SEARCH("-",F8)))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ontainsText" priority="2" operator="containsText" id="{E8309DCC-91AF-4B55-8C17-14D09433002A}">
            <xm:f>NOT(ISERROR(SEARCH("-",F9)))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ontainsText" priority="1" operator="containsText" id="{AE6F5B30-0BC9-4BC9-929F-69B9EDEA32DF}">
            <xm:f>NOT(ISERROR(SEARCH("-",F10)))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F10:F22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3:J73"/>
  <sheetViews>
    <sheetView workbookViewId="0">
      <selection activeCell="J5" sqref="J5"/>
    </sheetView>
  </sheetViews>
  <sheetFormatPr baseColWidth="10" defaultRowHeight="15" x14ac:dyDescent="0.25"/>
  <cols>
    <col min="2" max="3" width="34.28515625" customWidth="1"/>
    <col min="4" max="5" width="10.28515625" customWidth="1"/>
    <col min="10" max="10" width="35.5703125" customWidth="1"/>
  </cols>
  <sheetData>
    <row r="3" spans="2:10" x14ac:dyDescent="0.25">
      <c r="B3" t="s">
        <v>58</v>
      </c>
      <c r="D3" s="109" t="s">
        <v>64</v>
      </c>
      <c r="E3" s="109" t="s">
        <v>65</v>
      </c>
      <c r="F3" s="109" t="s">
        <v>70</v>
      </c>
      <c r="J3" s="113" t="s">
        <v>71</v>
      </c>
    </row>
    <row r="4" spans="2:10" x14ac:dyDescent="0.25">
      <c r="B4" t="s">
        <v>59</v>
      </c>
      <c r="D4" s="110">
        <v>1</v>
      </c>
      <c r="E4" s="110">
        <v>1</v>
      </c>
      <c r="F4" s="110">
        <v>1</v>
      </c>
      <c r="J4" s="26" t="s">
        <v>66</v>
      </c>
    </row>
    <row r="5" spans="2:10" x14ac:dyDescent="0.25">
      <c r="B5" t="s">
        <v>60</v>
      </c>
      <c r="D5" s="111">
        <v>2</v>
      </c>
      <c r="E5" s="111">
        <v>2</v>
      </c>
      <c r="F5" s="111">
        <v>2</v>
      </c>
      <c r="J5" s="26" t="s">
        <v>54</v>
      </c>
    </row>
    <row r="6" spans="2:10" x14ac:dyDescent="0.25">
      <c r="B6" t="s">
        <v>61</v>
      </c>
      <c r="D6" s="110">
        <v>3</v>
      </c>
      <c r="E6" s="110">
        <v>3</v>
      </c>
      <c r="F6" s="110">
        <v>3</v>
      </c>
      <c r="J6" s="26" t="s">
        <v>55</v>
      </c>
    </row>
    <row r="7" spans="2:10" x14ac:dyDescent="0.25">
      <c r="B7" t="s">
        <v>62</v>
      </c>
      <c r="D7" s="111">
        <v>4</v>
      </c>
      <c r="E7" s="110">
        <v>4</v>
      </c>
      <c r="F7" s="111">
        <v>4</v>
      </c>
      <c r="J7" s="26" t="s">
        <v>56</v>
      </c>
    </row>
    <row r="8" spans="2:10" x14ac:dyDescent="0.25">
      <c r="B8" t="s">
        <v>63</v>
      </c>
      <c r="E8" s="111">
        <v>5</v>
      </c>
      <c r="F8" s="110">
        <v>5</v>
      </c>
    </row>
    <row r="9" spans="2:10" x14ac:dyDescent="0.25">
      <c r="E9" s="110">
        <v>6</v>
      </c>
      <c r="F9" s="111">
        <v>6</v>
      </c>
    </row>
    <row r="10" spans="2:10" x14ac:dyDescent="0.25">
      <c r="F10" s="110">
        <v>7</v>
      </c>
      <c r="J10" s="115" t="s">
        <v>72</v>
      </c>
    </row>
    <row r="11" spans="2:10" x14ac:dyDescent="0.25">
      <c r="F11" s="111">
        <v>8</v>
      </c>
      <c r="J11" s="114" t="s">
        <v>36</v>
      </c>
    </row>
    <row r="12" spans="2:10" x14ac:dyDescent="0.25">
      <c r="F12" s="110">
        <v>9</v>
      </c>
    </row>
    <row r="13" spans="2:10" x14ac:dyDescent="0.25">
      <c r="B13" s="113" t="s">
        <v>76</v>
      </c>
      <c r="F13" s="111">
        <v>10</v>
      </c>
    </row>
    <row r="14" spans="2:10" x14ac:dyDescent="0.25">
      <c r="B14" t="s">
        <v>77</v>
      </c>
      <c r="C14" t="s">
        <v>78</v>
      </c>
      <c r="F14" s="110">
        <v>11</v>
      </c>
    </row>
    <row r="15" spans="2:10" x14ac:dyDescent="0.25">
      <c r="B15">
        <v>1</v>
      </c>
      <c r="C15">
        <v>3</v>
      </c>
      <c r="F15" s="111">
        <v>12</v>
      </c>
    </row>
    <row r="16" spans="2:10" x14ac:dyDescent="0.25">
      <c r="B16">
        <v>2</v>
      </c>
      <c r="C16">
        <v>4</v>
      </c>
      <c r="F16" s="110">
        <v>13</v>
      </c>
    </row>
    <row r="17" spans="3:6" x14ac:dyDescent="0.25">
      <c r="C17">
        <v>5</v>
      </c>
      <c r="F17" s="111">
        <v>14</v>
      </c>
    </row>
    <row r="18" spans="3:6" x14ac:dyDescent="0.25">
      <c r="C18">
        <v>6</v>
      </c>
      <c r="F18" s="110">
        <v>15</v>
      </c>
    </row>
    <row r="19" spans="3:6" x14ac:dyDescent="0.25">
      <c r="C19">
        <v>7</v>
      </c>
      <c r="F19" s="111">
        <v>16</v>
      </c>
    </row>
    <row r="20" spans="3:6" x14ac:dyDescent="0.25">
      <c r="C20">
        <v>8</v>
      </c>
      <c r="F20" s="110">
        <v>17</v>
      </c>
    </row>
    <row r="21" spans="3:6" x14ac:dyDescent="0.25">
      <c r="C21">
        <v>9</v>
      </c>
      <c r="F21" s="111">
        <v>18</v>
      </c>
    </row>
    <row r="22" spans="3:6" x14ac:dyDescent="0.25">
      <c r="C22">
        <v>10</v>
      </c>
      <c r="F22" s="110">
        <v>19</v>
      </c>
    </row>
    <row r="23" spans="3:6" x14ac:dyDescent="0.25">
      <c r="C23">
        <v>11</v>
      </c>
      <c r="F23" s="111">
        <v>20</v>
      </c>
    </row>
    <row r="24" spans="3:6" x14ac:dyDescent="0.25">
      <c r="C24">
        <v>12</v>
      </c>
      <c r="F24" s="110">
        <v>21</v>
      </c>
    </row>
    <row r="25" spans="3:6" x14ac:dyDescent="0.25">
      <c r="C25">
        <v>13</v>
      </c>
      <c r="F25" s="111">
        <v>22</v>
      </c>
    </row>
    <row r="26" spans="3:6" x14ac:dyDescent="0.25">
      <c r="C26">
        <v>14</v>
      </c>
      <c r="F26" s="110">
        <v>23</v>
      </c>
    </row>
    <row r="27" spans="3:6" x14ac:dyDescent="0.25">
      <c r="C27">
        <v>15</v>
      </c>
      <c r="F27" s="111">
        <v>24</v>
      </c>
    </row>
    <row r="28" spans="3:6" x14ac:dyDescent="0.25">
      <c r="C28">
        <v>16</v>
      </c>
      <c r="F28" s="110">
        <v>25</v>
      </c>
    </row>
    <row r="29" spans="3:6" x14ac:dyDescent="0.25">
      <c r="C29">
        <v>17</v>
      </c>
      <c r="F29" s="111">
        <v>26</v>
      </c>
    </row>
    <row r="30" spans="3:6" x14ac:dyDescent="0.25">
      <c r="C30">
        <v>18</v>
      </c>
      <c r="F30" s="110">
        <v>27</v>
      </c>
    </row>
    <row r="31" spans="3:6" x14ac:dyDescent="0.25">
      <c r="C31">
        <v>19</v>
      </c>
      <c r="F31" s="111">
        <v>28</v>
      </c>
    </row>
    <row r="32" spans="3:6" x14ac:dyDescent="0.25">
      <c r="C32">
        <v>20</v>
      </c>
      <c r="F32" s="110">
        <v>29</v>
      </c>
    </row>
    <row r="33" spans="6:6" x14ac:dyDescent="0.25">
      <c r="F33" s="111">
        <v>30</v>
      </c>
    </row>
    <row r="34" spans="6:6" x14ac:dyDescent="0.25">
      <c r="F34" s="110">
        <v>31</v>
      </c>
    </row>
    <row r="35" spans="6:6" x14ac:dyDescent="0.25">
      <c r="F35" s="111">
        <v>32</v>
      </c>
    </row>
    <row r="36" spans="6:6" x14ac:dyDescent="0.25">
      <c r="F36" s="110">
        <v>33</v>
      </c>
    </row>
    <row r="37" spans="6:6" x14ac:dyDescent="0.25">
      <c r="F37" s="111">
        <v>34</v>
      </c>
    </row>
    <row r="38" spans="6:6" x14ac:dyDescent="0.25">
      <c r="F38" s="110">
        <v>35</v>
      </c>
    </row>
    <row r="39" spans="6:6" x14ac:dyDescent="0.25">
      <c r="F39" s="111">
        <v>36</v>
      </c>
    </row>
    <row r="40" spans="6:6" x14ac:dyDescent="0.25">
      <c r="F40" s="110">
        <v>37</v>
      </c>
    </row>
    <row r="41" spans="6:6" x14ac:dyDescent="0.25">
      <c r="F41" s="111">
        <v>38</v>
      </c>
    </row>
    <row r="42" spans="6:6" x14ac:dyDescent="0.25">
      <c r="F42" s="110">
        <v>39</v>
      </c>
    </row>
    <row r="43" spans="6:6" x14ac:dyDescent="0.25">
      <c r="F43" s="111">
        <v>40</v>
      </c>
    </row>
    <row r="44" spans="6:6" x14ac:dyDescent="0.25">
      <c r="F44" s="110">
        <v>41</v>
      </c>
    </row>
    <row r="45" spans="6:6" x14ac:dyDescent="0.25">
      <c r="F45" s="111">
        <v>42</v>
      </c>
    </row>
    <row r="46" spans="6:6" x14ac:dyDescent="0.25">
      <c r="F46" s="110">
        <v>43</v>
      </c>
    </row>
    <row r="47" spans="6:6" x14ac:dyDescent="0.25">
      <c r="F47" s="111">
        <v>44</v>
      </c>
    </row>
    <row r="48" spans="6:6" x14ac:dyDescent="0.25">
      <c r="F48" s="110">
        <v>45</v>
      </c>
    </row>
    <row r="49" spans="6:6" x14ac:dyDescent="0.25">
      <c r="F49" s="111">
        <v>46</v>
      </c>
    </row>
    <row r="50" spans="6:6" x14ac:dyDescent="0.25">
      <c r="F50" s="110">
        <v>47</v>
      </c>
    </row>
    <row r="51" spans="6:6" x14ac:dyDescent="0.25">
      <c r="F51" s="111">
        <v>48</v>
      </c>
    </row>
    <row r="52" spans="6:6" x14ac:dyDescent="0.25">
      <c r="F52" s="110">
        <v>49</v>
      </c>
    </row>
    <row r="53" spans="6:6" x14ac:dyDescent="0.25">
      <c r="F53" s="111">
        <v>50</v>
      </c>
    </row>
    <row r="54" spans="6:6" x14ac:dyDescent="0.25">
      <c r="F54" s="110">
        <v>51</v>
      </c>
    </row>
    <row r="55" spans="6:6" x14ac:dyDescent="0.25">
      <c r="F55" s="111">
        <v>52</v>
      </c>
    </row>
    <row r="56" spans="6:6" x14ac:dyDescent="0.25">
      <c r="F56" s="110">
        <v>53</v>
      </c>
    </row>
    <row r="57" spans="6:6" x14ac:dyDescent="0.25">
      <c r="F57" s="111">
        <v>54</v>
      </c>
    </row>
    <row r="58" spans="6:6" x14ac:dyDescent="0.25">
      <c r="F58" s="110">
        <v>55</v>
      </c>
    </row>
    <row r="59" spans="6:6" x14ac:dyDescent="0.25">
      <c r="F59" s="111">
        <v>56</v>
      </c>
    </row>
    <row r="60" spans="6:6" x14ac:dyDescent="0.25">
      <c r="F60" s="110">
        <v>57</v>
      </c>
    </row>
    <row r="61" spans="6:6" x14ac:dyDescent="0.25">
      <c r="F61" s="111">
        <v>58</v>
      </c>
    </row>
    <row r="62" spans="6:6" x14ac:dyDescent="0.25">
      <c r="F62" s="110">
        <v>59</v>
      </c>
    </row>
    <row r="63" spans="6:6" x14ac:dyDescent="0.25">
      <c r="F63" s="111">
        <v>60</v>
      </c>
    </row>
    <row r="64" spans="6:6" x14ac:dyDescent="0.25">
      <c r="F64" s="110">
        <v>61</v>
      </c>
    </row>
    <row r="65" spans="6:6" x14ac:dyDescent="0.25">
      <c r="F65" s="111">
        <v>62</v>
      </c>
    </row>
    <row r="66" spans="6:6" x14ac:dyDescent="0.25">
      <c r="F66" s="110">
        <v>63</v>
      </c>
    </row>
    <row r="67" spans="6:6" x14ac:dyDescent="0.25">
      <c r="F67" s="111">
        <v>64</v>
      </c>
    </row>
    <row r="68" spans="6:6" x14ac:dyDescent="0.25">
      <c r="F68" s="110">
        <v>65</v>
      </c>
    </row>
    <row r="69" spans="6:6" x14ac:dyDescent="0.25">
      <c r="F69" s="111">
        <v>66</v>
      </c>
    </row>
    <row r="70" spans="6:6" x14ac:dyDescent="0.25">
      <c r="F70" s="110">
        <v>67</v>
      </c>
    </row>
    <row r="71" spans="6:6" x14ac:dyDescent="0.25">
      <c r="F71" s="111">
        <v>68</v>
      </c>
    </row>
    <row r="72" spans="6:6" x14ac:dyDescent="0.25">
      <c r="F72" s="110">
        <v>69</v>
      </c>
    </row>
    <row r="73" spans="6:6" x14ac:dyDescent="0.25">
      <c r="F73" s="111">
        <v>70</v>
      </c>
    </row>
  </sheetData>
  <dataValidations count="3">
    <dataValidation type="list" allowBlank="1" showInputMessage="1" showErrorMessage="1" sqref="H5" xr:uid="{00000000-0002-0000-0600-000000000000}">
      <formula1>"Personenbis4,Personenbis8"</formula1>
    </dataValidation>
    <dataValidation type="list" allowBlank="1" showInputMessage="1" showErrorMessage="1" sqref="C13" xr:uid="{00000000-0002-0000-0600-000001000000}">
      <formula1>IF($B$13="Konzerte regionaler Act (bis zu 4 Personen)",regional,Ensemble)</formula1>
    </dataValidation>
    <dataValidation type="list" allowBlank="1" showInputMessage="1" showErrorMessage="1" sqref="I10" xr:uid="{00000000-0002-0000-0600-000002000000}">
      <formula1>IF($H$10="Ausstellung",Bildende,"nein")</formula1>
    </dataValidation>
  </dataValidations>
  <pageMargins left="0.7" right="0.7" top="0.78740157499999996" bottom="0.78740157499999996" header="0.3" footer="0.3"/>
  <pageSetup paperSize="9" orientation="portrait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L15"/>
  <sheetViews>
    <sheetView workbookViewId="0">
      <selection activeCell="G19" sqref="G19"/>
    </sheetView>
  </sheetViews>
  <sheetFormatPr baseColWidth="10" defaultRowHeight="15" x14ac:dyDescent="0.25"/>
  <cols>
    <col min="1" max="1" width="27.28515625" bestFit="1" customWidth="1"/>
    <col min="2" max="2" width="51.42578125" bestFit="1" customWidth="1"/>
  </cols>
  <sheetData>
    <row r="1" spans="1:12" ht="41.25" customHeight="1" x14ac:dyDescent="0.25">
      <c r="A1" s="239" t="s">
        <v>80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19.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4" spans="1:12" ht="30" x14ac:dyDescent="0.25">
      <c r="A4" s="56"/>
      <c r="B4" s="56" t="s">
        <v>45</v>
      </c>
      <c r="C4" s="61" t="s">
        <v>30</v>
      </c>
      <c r="D4" s="62" t="s">
        <v>31</v>
      </c>
      <c r="E4" s="62" t="s">
        <v>32</v>
      </c>
      <c r="F4" s="62" t="s">
        <v>33</v>
      </c>
      <c r="G4" s="62" t="s">
        <v>34</v>
      </c>
      <c r="H4" s="62" t="s">
        <v>35</v>
      </c>
      <c r="I4" s="62" t="s">
        <v>27</v>
      </c>
      <c r="J4" s="62" t="s">
        <v>28</v>
      </c>
      <c r="K4" s="62" t="s">
        <v>29</v>
      </c>
      <c r="L4" s="62" t="s">
        <v>37</v>
      </c>
    </row>
    <row r="5" spans="1:12" ht="45" customHeight="1" x14ac:dyDescent="0.25">
      <c r="A5" s="57">
        <v>1</v>
      </c>
      <c r="B5" s="58" t="s">
        <v>38</v>
      </c>
      <c r="C5" s="59">
        <f>2105*1.3</f>
        <v>2736.5</v>
      </c>
      <c r="D5" s="59">
        <f>2142*1.3</f>
        <v>2784.6</v>
      </c>
      <c r="E5" s="59">
        <f>2200*1.3</f>
        <v>2860</v>
      </c>
      <c r="F5" s="59">
        <f>2264*1.3</f>
        <v>2943.2000000000003</v>
      </c>
      <c r="G5" s="59">
        <f>2327*1.3</f>
        <v>3025.1</v>
      </c>
      <c r="H5" s="59">
        <f>2389*1.3</f>
        <v>3105.7000000000003</v>
      </c>
      <c r="I5" s="59">
        <f>2455*1.3</f>
        <v>3191.5</v>
      </c>
      <c r="J5" s="59">
        <f>2525*1.3</f>
        <v>3282.5</v>
      </c>
      <c r="K5" s="59">
        <f>2598*1.3</f>
        <v>3377.4</v>
      </c>
      <c r="L5" s="59">
        <f>2669*1.3</f>
        <v>3469.7000000000003</v>
      </c>
    </row>
    <row r="6" spans="1:12" ht="45" customHeight="1" x14ac:dyDescent="0.25">
      <c r="A6" s="57">
        <v>2</v>
      </c>
      <c r="B6" s="58" t="s">
        <v>39</v>
      </c>
      <c r="C6" s="59">
        <f>2269*1.3</f>
        <v>2949.7000000000003</v>
      </c>
      <c r="D6" s="59">
        <f>2366*1.3</f>
        <v>3075.8</v>
      </c>
      <c r="E6" s="59">
        <f>2461*1.3</f>
        <v>3199.3</v>
      </c>
      <c r="F6" s="59">
        <f>2564*1.3</f>
        <v>3333.2000000000003</v>
      </c>
      <c r="G6" s="59">
        <f>2670*1.3</f>
        <v>3471</v>
      </c>
      <c r="H6" s="59">
        <f>2779*1.3</f>
        <v>3612.7000000000003</v>
      </c>
      <c r="I6" s="59">
        <f>2884*1.3</f>
        <v>3749.2000000000003</v>
      </c>
      <c r="J6" s="59">
        <f>2988*1.3</f>
        <v>3884.4</v>
      </c>
      <c r="K6" s="59">
        <f>3098*1.3</f>
        <v>4027.4</v>
      </c>
      <c r="L6" s="59">
        <f>3207*1.3</f>
        <v>4169.1000000000004</v>
      </c>
    </row>
    <row r="7" spans="1:12" ht="45" customHeight="1" x14ac:dyDescent="0.25">
      <c r="A7" s="57">
        <v>3</v>
      </c>
      <c r="B7" s="58" t="s">
        <v>46</v>
      </c>
      <c r="C7" s="59">
        <f>2462*1.3</f>
        <v>3200.6</v>
      </c>
      <c r="D7" s="59">
        <f>2561*1.3</f>
        <v>3329.3</v>
      </c>
      <c r="E7" s="59">
        <f>2671*1.3</f>
        <v>3472.3</v>
      </c>
      <c r="F7" s="59">
        <f>2789*1.3</f>
        <v>3625.7000000000003</v>
      </c>
      <c r="G7" s="59">
        <f>2900*1.3</f>
        <v>3770</v>
      </c>
      <c r="H7" s="59">
        <f>3017*1.3</f>
        <v>3922.1</v>
      </c>
      <c r="I7" s="59">
        <f>3128*1.3</f>
        <v>4066.4</v>
      </c>
      <c r="J7" s="59">
        <f>3246*1.3</f>
        <v>4219.8</v>
      </c>
      <c r="K7" s="59">
        <f>3362*1.3</f>
        <v>4370.6000000000004</v>
      </c>
      <c r="L7" s="59">
        <f>3479*1.3</f>
        <v>4522.7</v>
      </c>
    </row>
    <row r="8" spans="1:12" ht="45" customHeight="1" x14ac:dyDescent="0.25">
      <c r="A8" s="57">
        <v>4</v>
      </c>
      <c r="B8" s="58" t="s">
        <v>40</v>
      </c>
      <c r="C8" s="59">
        <f>2777*1.3</f>
        <v>3610.1</v>
      </c>
      <c r="D8" s="59">
        <f>2912*1.3</f>
        <v>3785.6</v>
      </c>
      <c r="E8" s="59">
        <f>3052*1.3</f>
        <v>3967.6</v>
      </c>
      <c r="F8" s="59">
        <f>3201*1.3</f>
        <v>4161.3</v>
      </c>
      <c r="G8" s="59">
        <f>3346*1.3</f>
        <v>4349.8</v>
      </c>
      <c r="H8" s="59">
        <f>3489*1.3</f>
        <v>4535.7</v>
      </c>
      <c r="I8" s="59">
        <f>3633*1.3</f>
        <v>4722.9000000000005</v>
      </c>
      <c r="J8" s="59">
        <f>3780*1.3</f>
        <v>4914</v>
      </c>
      <c r="K8" s="59">
        <f>3927*1.3</f>
        <v>5105.1000000000004</v>
      </c>
      <c r="L8" s="59">
        <f>4075*1.3</f>
        <v>5297.5</v>
      </c>
    </row>
    <row r="9" spans="1:12" ht="45" customHeight="1" x14ac:dyDescent="0.25">
      <c r="A9" s="57">
        <v>5</v>
      </c>
      <c r="B9" s="58" t="s">
        <v>41</v>
      </c>
      <c r="C9" s="59">
        <f>3055*1.3</f>
        <v>3971.5</v>
      </c>
      <c r="D9" s="59">
        <f>3222*1.3</f>
        <v>4188.6000000000004</v>
      </c>
      <c r="E9" s="59">
        <f>3384*1.3</f>
        <v>4399.2</v>
      </c>
      <c r="F9" s="59">
        <f>3547*1.3</f>
        <v>4611.1000000000004</v>
      </c>
      <c r="G9" s="59">
        <f>3714*1.3</f>
        <v>4828.2</v>
      </c>
      <c r="H9" s="59">
        <f>3880*1.3</f>
        <v>5044</v>
      </c>
      <c r="I9" s="59">
        <f>4044*1.3</f>
        <v>5257.2</v>
      </c>
      <c r="J9" s="59">
        <f>4209*1.3</f>
        <v>5471.7</v>
      </c>
      <c r="K9" s="59">
        <f>4371*1.3</f>
        <v>5682.3</v>
      </c>
      <c r="L9" s="59">
        <f>4538*1.3</f>
        <v>5899.4000000000005</v>
      </c>
    </row>
    <row r="10" spans="1:12" ht="45" customHeight="1" x14ac:dyDescent="0.25">
      <c r="A10" s="57">
        <v>6</v>
      </c>
      <c r="B10" s="58" t="s">
        <v>42</v>
      </c>
      <c r="C10" s="59">
        <f>3466*1.3</f>
        <v>4505.8</v>
      </c>
      <c r="D10" s="59">
        <f>3651*1.3</f>
        <v>4746.3</v>
      </c>
      <c r="E10" s="59">
        <f>3832*1.3</f>
        <v>4981.6000000000004</v>
      </c>
      <c r="F10" s="59">
        <f>4021*1.3</f>
        <v>5227.3</v>
      </c>
      <c r="G10" s="59">
        <f>4203*1.3</f>
        <v>5463.9000000000005</v>
      </c>
      <c r="H10" s="59">
        <f>4392*1.3</f>
        <v>5709.6</v>
      </c>
      <c r="I10" s="59">
        <f>4573*1.3</f>
        <v>5944.9000000000005</v>
      </c>
      <c r="J10" s="59">
        <f>4761*1.3</f>
        <v>6189.3</v>
      </c>
      <c r="K10" s="59">
        <f>4946*1.3</f>
        <v>6429.8</v>
      </c>
      <c r="L10" s="59">
        <f>5133*1.3</f>
        <v>6672.9000000000005</v>
      </c>
    </row>
    <row r="11" spans="1:12" ht="45" customHeight="1" x14ac:dyDescent="0.25">
      <c r="A11" s="57">
        <v>7</v>
      </c>
      <c r="B11" s="60" t="s">
        <v>43</v>
      </c>
      <c r="C11" s="59">
        <f>4172*1.3</f>
        <v>5423.6</v>
      </c>
      <c r="D11" s="59">
        <f>4397*1.3</f>
        <v>5716.1</v>
      </c>
      <c r="E11" s="59">
        <f>4621*1.3</f>
        <v>6007.3</v>
      </c>
      <c r="F11" s="59">
        <f>4846*1.3</f>
        <v>6299.8</v>
      </c>
      <c r="G11" s="59">
        <f>5072*1.3</f>
        <v>6593.6</v>
      </c>
      <c r="H11" s="59">
        <f>5294*1.3</f>
        <v>6882.2</v>
      </c>
      <c r="I11" s="59">
        <f>5517*1.3</f>
        <v>7172.1</v>
      </c>
      <c r="J11" s="59">
        <f>5743*1.3</f>
        <v>7465.9000000000005</v>
      </c>
      <c r="K11" s="59">
        <f>5966*1.3</f>
        <v>7755.8</v>
      </c>
      <c r="L11" s="59">
        <f>6188*1.3</f>
        <v>8044.4000000000005</v>
      </c>
    </row>
    <row r="12" spans="1:12" ht="45" customHeight="1" x14ac:dyDescent="0.25">
      <c r="A12" s="57">
        <v>8</v>
      </c>
      <c r="B12" s="60" t="s">
        <v>44</v>
      </c>
      <c r="C12" s="59">
        <f>4857*1.3</f>
        <v>6314.1</v>
      </c>
      <c r="D12" s="59">
        <f>5085*1.3</f>
        <v>6610.5</v>
      </c>
      <c r="E12" s="59">
        <f>5321*1.3</f>
        <v>6917.3</v>
      </c>
      <c r="F12" s="59">
        <f>5550*1.3</f>
        <v>7215</v>
      </c>
      <c r="G12" s="59">
        <f>5783*1.3</f>
        <v>7517.9000000000005</v>
      </c>
      <c r="H12" s="59">
        <f>6021*1.3</f>
        <v>7827.3</v>
      </c>
      <c r="I12" s="59">
        <f>6250*1.3</f>
        <v>8125</v>
      </c>
      <c r="J12" s="59">
        <f>6484*1.3</f>
        <v>8429.2000000000007</v>
      </c>
      <c r="K12" s="59">
        <f>6716*1.3</f>
        <v>8730.8000000000011</v>
      </c>
      <c r="L12" s="59">
        <f>6947*1.3</f>
        <v>9031.1</v>
      </c>
    </row>
    <row r="14" spans="1:12" x14ac:dyDescent="0.25">
      <c r="C14" s="52"/>
    </row>
    <row r="15" spans="1:12" x14ac:dyDescent="0.25">
      <c r="C15" s="52"/>
    </row>
  </sheetData>
  <mergeCells count="1">
    <mergeCell ref="A1:L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Anna-Kristina Haysen, BA MA"/>
    <f:field ref="FSCFOLIO_1_1001_FieldCurrentDate" text="07.04.2025 14:18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Datenblatt Fair Pay Steiermark" edit="true"/>
    <f:field ref="CCAPRECONFIG_15_1001_Objektname" text="Datenblatt Fair Pay Steiermark" edit="true"/>
    <f:field ref="LSTMKPRECONFIG_1_1001_FieldDistributionListCopy" text="" multiline="true"/>
    <f:field ref="LSTMKPRECONFIG_1_1001_FieldDistributionList" text="" multiline="true"/>
    <f:field ref="objname" text="Datenblatt Fair Pay Steiermark" edit="true"/>
    <f:field ref="objsubject" text="" edit="true"/>
    <f:field ref="objcreatedby" text="Haysen, Anna-Kristina, BA MA"/>
    <f:field ref="objcreatedat" date="2024-05-17T11:09:20" text="17.05.2024 11:09:20"/>
    <f:field ref="objchangedby" text="Haysen, Anna-Kristina, BA MA"/>
    <f:field ref="objmodifiedat" date="2024-05-17T11:09:37" text="17.05.2024 11:09:37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LSTMKPRECONFIG_1_1001_FieldDistributionListCopy" text="Ergeht abschriftlich an"/>
    <f:field ref="LSTMKPRECONFIG_1_1001_FieldDistributionList" text="Ergeht an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13</vt:i4>
      </vt:variant>
    </vt:vector>
  </HeadingPairs>
  <TitlesOfParts>
    <vt:vector size="21" baseType="lpstr">
      <vt:lpstr>Personalkosten</vt:lpstr>
      <vt:lpstr>Honorare Organisat.Tätigkeiten</vt:lpstr>
      <vt:lpstr>Honorare Bildende Kunst</vt:lpstr>
      <vt:lpstr>Honorare Darstellende Kunst</vt:lpstr>
      <vt:lpstr>Honorare Musik</vt:lpstr>
      <vt:lpstr>Honorare Literatur</vt:lpstr>
      <vt:lpstr>Hilfsblatt</vt:lpstr>
      <vt:lpstr>Gehaltsschema Personalkosten</vt:lpstr>
      <vt:lpstr>Bildende</vt:lpstr>
      <vt:lpstr>'Honorare Bildende Kunst'!Druckbereich</vt:lpstr>
      <vt:lpstr>'Honorare Darstellende Kunst'!Druckbereich</vt:lpstr>
      <vt:lpstr>'Honorare Literatur'!Druckbereich</vt:lpstr>
      <vt:lpstr>'Honorare Musik'!Druckbereich</vt:lpstr>
      <vt:lpstr>'Honorare Organisat.Tätigkeiten'!Druckbereich</vt:lpstr>
      <vt:lpstr>Personalkosten!Druckbereich</vt:lpstr>
      <vt:lpstr>Ensemble</vt:lpstr>
      <vt:lpstr>NULL</vt:lpstr>
      <vt:lpstr>Orchester</vt:lpstr>
      <vt:lpstr>regional</vt:lpstr>
      <vt:lpstr>Vorstellungen1_2</vt:lpstr>
      <vt:lpstr>Vorstellungen3</vt:lpstr>
    </vt:vector>
  </TitlesOfParts>
  <Company>Haus Graz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Pipam Alexander</dc:creator>
  <cp:lastModifiedBy>Haysen Anna-Kristina</cp:lastModifiedBy>
  <cp:lastPrinted>2025-04-08T09:51:24Z</cp:lastPrinted>
  <dcterms:created xsi:type="dcterms:W3CDTF">2024-01-18T12:29:58Z</dcterms:created>
  <dcterms:modified xsi:type="dcterms:W3CDTF">2025-04-24T10:11:43Z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FG@2108.100:dpSalutation">
    <vt:lpwstr/>
  </property>
  <property fmtid="{D5CDD505-2E9C-101B-9397-08002B2CF9AE}" pid="3" name="FSC#CFG@2108.100:dpFirstAddresseeName">
    <vt:lpwstr/>
  </property>
  <property fmtid="{D5CDD505-2E9C-101B-9397-08002B2CF9AE}" pid="4" name="FSC#CFG@2108.100:dpFirstAddresseeFirstname">
    <vt:lpwstr/>
  </property>
  <property fmtid="{D5CDD505-2E9C-101B-9397-08002B2CF9AE}" pid="5" name="FSC#CFG@2108.100:dpFirstAddresseeOrgName">
    <vt:lpwstr/>
  </property>
  <property fmtid="{D5CDD505-2E9C-101B-9397-08002B2CF9AE}" pid="6" name="FSC#CFG@2108.100:dpFirstAddresseeOrgnameaddon1">
    <vt:lpwstr/>
  </property>
  <property fmtid="{D5CDD505-2E9C-101B-9397-08002B2CF9AE}" pid="7" name="FSC#CFG@2108.100:dpFirstAddresseeBirthdate">
    <vt:lpwstr/>
  </property>
  <property fmtid="{D5CDD505-2E9C-101B-9397-08002B2CF9AE}" pid="8" name="FSC#CFG@2108.100:dpFirstAddresseeStreet">
    <vt:lpwstr/>
  </property>
  <property fmtid="{D5CDD505-2E9C-101B-9397-08002B2CF9AE}" pid="9" name="FSC#CFG@2108.100:dpFirstAddresseeStreetNumber">
    <vt:lpwstr/>
  </property>
  <property fmtid="{D5CDD505-2E9C-101B-9397-08002B2CF9AE}" pid="10" name="FSC#CFG@2108.100:dpFirstAddresseeZipcode">
    <vt:lpwstr/>
  </property>
  <property fmtid="{D5CDD505-2E9C-101B-9397-08002B2CF9AE}" pid="11" name="FSC#CFG@2108.100:dpFirstAddresseeCity">
    <vt:lpwstr/>
  </property>
  <property fmtid="{D5CDD505-2E9C-101B-9397-08002B2CF9AE}" pid="12" name="FSC#CFG@2108.100:dpPersEmail">
    <vt:lpwstr/>
  </property>
  <property fmtid="{D5CDD505-2E9C-101B-9397-08002B2CF9AE}" pid="13" name="FSC#CFG@2108.100:dpApproverGender">
    <vt:lpwstr>ups</vt:lpwstr>
  </property>
  <property fmtid="{D5CDD505-2E9C-101B-9397-08002B2CF9AE}" pid="14" name="FSC#CFG@2108.100:dpFileResponsibleGender">
    <vt:lpwstr>Leiterin</vt:lpwstr>
  </property>
  <property fmtid="{D5CDD505-2E9C-101B-9397-08002B2CF9AE}" pid="15" name="FSC#CFG@2108.100:dpFileResponsibleGenderBH">
    <vt:lpwstr>BEZIRKSHAUPTFRAU</vt:lpwstr>
  </property>
  <property fmtid="{D5CDD505-2E9C-101B-9397-08002B2CF9AE}" pid="16" name="FSC#CFG@2108.100:dpFileRespOrgObjSubject">
    <vt:lpwstr/>
  </property>
  <property fmtid="{D5CDD505-2E9C-101B-9397-08002B2CF9AE}" pid="17" name="FSC#CFG@2108.100:dpFileResponsibleFAX">
    <vt:lpwstr>+43 (316) 877-3156</vt:lpwstr>
  </property>
  <property fmtid="{D5CDD505-2E9C-101B-9397-08002B2CF9AE}" pid="18" name="FSC#CFG@2108.100:dpFileResponsibleEmail">
    <vt:lpwstr>anna-kristina.haysen@stmk.gv.at</vt:lpwstr>
  </property>
  <property fmtid="{D5CDD505-2E9C-101B-9397-08002B2CF9AE}" pid="19" name="FSC#CFG@2108.100:dpFileResponsibleAddrCity">
    <vt:lpwstr>Graz</vt:lpwstr>
  </property>
  <property fmtid="{D5CDD505-2E9C-101B-9397-08002B2CF9AE}" pid="20" name="FSC#CFG@2108.100:dpFileResponsibleAddrZipCode">
    <vt:lpwstr>8010</vt:lpwstr>
  </property>
  <property fmtid="{D5CDD505-2E9C-101B-9397-08002B2CF9AE}" pid="21" name="FSC#CFG@2108.100:dpFileResponsibleAddrStreet">
    <vt:lpwstr>Landhausgasse 7</vt:lpwstr>
  </property>
  <property fmtid="{D5CDD505-2E9C-101B-9397-08002B2CF9AE}" pid="22" name="FSC#LSTMKPRECONFIG@1.1001:PageChargessumbrutto">
    <vt:lpwstr>0,00</vt:lpwstr>
  </property>
  <property fmtid="{D5CDD505-2E9C-101B-9397-08002B2CF9AE}" pid="23" name="FSC#LSTMKPRECONFIG@1.1001:PageChargessumnetto">
    <vt:lpwstr>0,00</vt:lpwstr>
  </property>
  <property fmtid="{D5CDD505-2E9C-101B-9397-08002B2CF9AE}" pid="24" name="FSC#LSTMKPRECONFIG@1.1001:PageChargessumvat">
    <vt:lpwstr>0,00</vt:lpwstr>
  </property>
  <property fmtid="{D5CDD505-2E9C-101B-9397-08002B2CF9AE}" pid="25" name="FSC#CFG@2108.100:dpAcceptDraftList">
    <vt:lpwstr/>
  </property>
  <property fmtid="{D5CDD505-2E9C-101B-9397-08002B2CF9AE}" pid="26" name="FSC#CFG@2108.100:dpAcceptDraft">
    <vt:lpwstr/>
  </property>
  <property fmtid="{D5CDD505-2E9C-101B-9397-08002B2CF9AE}" pid="27" name="FSC#CFG@2108.100:DistributionListTest">
    <vt:lpwstr/>
  </property>
  <property fmtid="{D5CDD505-2E9C-101B-9397-08002B2CF9AE}" pid="28" name="FSC#CFG@2108.100:dpAddresseeIBAN">
    <vt:lpwstr/>
  </property>
  <property fmtid="{D5CDD505-2E9C-101B-9397-08002B2CF9AE}" pid="29" name="FSC#CFG@2108.100:dpAddresseeBIC">
    <vt:lpwstr/>
  </property>
  <property fmtid="{D5CDD505-2E9C-101B-9397-08002B2CF9AE}" pid="30" name="FSC#CFG@2108.100:dpViewedList">
    <vt:lpwstr/>
  </property>
  <property fmtid="{D5CDD505-2E9C-101B-9397-08002B2CF9AE}" pid="31" name="FSC#CFG@2108.100:dpSubjAreaBasenr">
    <vt:lpwstr>KU-FO.10</vt:lpwstr>
  </property>
  <property fmtid="{D5CDD505-2E9C-101B-9397-08002B2CF9AE}" pid="32" name="FSC#CFG@2108.100:dpRelatedReference">
    <vt:lpwstr/>
  </property>
  <property fmtid="{D5CDD505-2E9C-101B-9397-08002B2CF9AE}" pid="33" name="FSC#CFG@2108.100:dpfilerelatedfile">
    <vt:lpwstr/>
  </property>
  <property fmtid="{D5CDD505-2E9C-101B-9397-08002B2CF9AE}" pid="34" name="FSC#CFG@2108.100:dpfilerelatedfilesubj">
    <vt:lpwstr/>
  </property>
  <property fmtid="{D5CDD505-2E9C-101B-9397-08002B2CF9AE}" pid="35" name="FSC#CFG@2108.100:dpRelatedtoSubfileopenedat">
    <vt:lpwstr/>
  </property>
  <property fmtid="{D5CDD505-2E9C-101B-9397-08002B2CF9AE}" pid="36" name="FSC#CFG@2108.100:dpSubjectAreaFileSubject">
    <vt:lpwstr>Kulturstrategie 2030 (bis 31.12.2024)</vt:lpwstr>
  </property>
  <property fmtid="{D5CDD505-2E9C-101B-9397-08002B2CF9AE}" pid="37" name="FSC#CFG@2108.100:dpSubjectAreaFileObjmlname">
    <vt:lpwstr/>
  </property>
  <property fmtid="{D5CDD505-2E9C-101B-9397-08002B2CF9AE}" pid="38" name="FSC#CFG@2108.100:dpSubjectAreaFilefilenotice">
    <vt:lpwstr/>
  </property>
  <property fmtid="{D5CDD505-2E9C-101B-9397-08002B2CF9AE}" pid="39" name="FSC#CFG@2108.100:dpAdresseeOrgAuthorityId">
    <vt:lpwstr/>
  </property>
  <property fmtid="{D5CDD505-2E9C-101B-9397-08002B2CF9AE}" pid="40" name="FSC#CFG@2108.100:dpIncattachments">
    <vt:lpwstr/>
  </property>
  <property fmtid="{D5CDD505-2E9C-101B-9397-08002B2CF9AE}" pid="41" name="FSC#CFG@2108.100:dpFirstAddresseeFileTitleFullNamePostTitle_textfield">
    <vt:lpwstr/>
  </property>
  <property fmtid="{D5CDD505-2E9C-101B-9397-08002B2CF9AE}" pid="42" name="FSC#CFG@2108.100:dpFirstAddresseeFileOrgName_textfield">
    <vt:lpwstr/>
  </property>
  <property fmtid="{D5CDD505-2E9C-101B-9397-08002B2CF9AE}" pid="43" name="FSC#CFG@2108.100:dpFirstAddresseeFileDateofBirth_textfield">
    <vt:lpwstr/>
  </property>
  <property fmtid="{D5CDD505-2E9C-101B-9397-08002B2CF9AE}" pid="44" name="FSC#CFG@2108.100:dpFirstAddresseeGenderShort">
    <vt:lpwstr/>
  </property>
  <property fmtid="{D5CDD505-2E9C-101B-9397-08002B2CF9AE}" pid="45" name="FSC#CFG@2108.100:dpFirstAddresseeGenderShortHerr">
    <vt:lpwstr/>
  </property>
  <property fmtid="{D5CDD505-2E9C-101B-9397-08002B2CF9AE}" pid="46" name="FSC#CFG@2108.100:dpSecondAddresseeGenderShortHerr">
    <vt:lpwstr/>
  </property>
  <property fmtid="{D5CDD505-2E9C-101B-9397-08002B2CF9AE}" pid="47" name="FSC#CFG@2108.100:dpFirstAddresseeGenderPronom">
    <vt:lpwstr/>
  </property>
  <property fmtid="{D5CDD505-2E9C-101B-9397-08002B2CF9AE}" pid="48" name="FSC#CFG@2108.100:dpFirstAddresseeFileAddresse">
    <vt:lpwstr/>
  </property>
  <property fmtid="{D5CDD505-2E9C-101B-9397-08002B2CF9AE}" pid="49" name="FSC#CFG@2108.100:dpFirstAddresseeFileAdditional1_textfield">
    <vt:lpwstr/>
  </property>
  <property fmtid="{D5CDD505-2E9C-101B-9397-08002B2CF9AE}" pid="50" name="FSC#CFG@2108.100:dpFirstAddresseeFileAdditional2_textfield">
    <vt:lpwstr/>
  </property>
  <property fmtid="{D5CDD505-2E9C-101B-9397-08002B2CF9AE}" pid="51" name="FSC#CFG@2108.100:dpFirstAddresseeFileAdditional3_textfield">
    <vt:lpwstr/>
  </property>
  <property fmtid="{D5CDD505-2E9C-101B-9397-08002B2CF9AE}" pid="52" name="FSC#CFG@2108.100:dpFirstAddresseeFileAdditional4_textfield">
    <vt:lpwstr/>
  </property>
  <property fmtid="{D5CDD505-2E9C-101B-9397-08002B2CF9AE}" pid="53" name="FSC#CFG@2108.100:dpFirstAddresseeFileAdditional5_textfield">
    <vt:lpwstr/>
  </property>
  <property fmtid="{D5CDD505-2E9C-101B-9397-08002B2CF9AE}" pid="54" name="FSC#CFG@2108.100:dpSecondAddresseeFileTitleFullNamePostTitle_textfield">
    <vt:lpwstr/>
  </property>
  <property fmtid="{D5CDD505-2E9C-101B-9397-08002B2CF9AE}" pid="55" name="FSC#CFG@2108.100:dpSecondAddresseeFileOrgName_textfield">
    <vt:lpwstr/>
  </property>
  <property fmtid="{D5CDD505-2E9C-101B-9397-08002B2CF9AE}" pid="56" name="FSC#CFG@2108.100:dpSecondAddresseeFileZH_textfield">
    <vt:lpwstr/>
  </property>
  <property fmtid="{D5CDD505-2E9C-101B-9397-08002B2CF9AE}" pid="57" name="FSC#CFG@2108.100:dpSecondAddresseeFileBirthdate_textfield">
    <vt:lpwstr/>
  </property>
  <property fmtid="{D5CDD505-2E9C-101B-9397-08002B2CF9AE}" pid="58" name="FSC#CFG@2108.100:dpSecondAddresseeFileAdditional1_textfield">
    <vt:lpwstr/>
  </property>
  <property fmtid="{D5CDD505-2E9C-101B-9397-08002B2CF9AE}" pid="59" name="FSC#CFG@2108.100:dpGStsubfileopenedat">
    <vt:lpwstr>17.05.2024</vt:lpwstr>
  </property>
  <property fmtid="{D5CDD505-2E9C-101B-9397-08002B2CF9AE}" pid="60" name="FSC#CFG@2108.100:dpAkt_1st_KGNr">
    <vt:lpwstr/>
  </property>
  <property fmtid="{D5CDD505-2E9C-101B-9397-08002B2CF9AE}" pid="61" name="FSC#CFG@2108.100:dpAkt_2nd_KGNr">
    <vt:lpwstr/>
  </property>
  <property fmtid="{D5CDD505-2E9C-101B-9397-08002B2CF9AE}" pid="62" name="FSC#CFG@2108.100:dpAkt_3rd_KGNr">
    <vt:lpwstr/>
  </property>
  <property fmtid="{D5CDD505-2E9C-101B-9397-08002B2CF9AE}" pid="63" name="FSC#CFG@2108.100:dpAkt_1st_KGName">
    <vt:lpwstr/>
  </property>
  <property fmtid="{D5CDD505-2E9C-101B-9397-08002B2CF9AE}" pid="64" name="FSC#CFG@2108.100:dpAkt_2nd_KGName">
    <vt:lpwstr/>
  </property>
  <property fmtid="{D5CDD505-2E9C-101B-9397-08002B2CF9AE}" pid="65" name="FSC#CFG@2108.100:dpAkt_3rd_KGName">
    <vt:lpwstr/>
  </property>
  <property fmtid="{D5CDD505-2E9C-101B-9397-08002B2CF9AE}" pid="66" name="FSC#CFG@2108.100:dpAkt_1st_Einlagezahl">
    <vt:lpwstr/>
  </property>
  <property fmtid="{D5CDD505-2E9C-101B-9397-08002B2CF9AE}" pid="67" name="FSC#CFG@2108.100:dpAkt_2nd_Einlagezahl">
    <vt:lpwstr/>
  </property>
  <property fmtid="{D5CDD505-2E9C-101B-9397-08002B2CF9AE}" pid="68" name="FSC#CFG@2108.100:dpAkt_3rd_Einlagezahl">
    <vt:lpwstr/>
  </property>
  <property fmtid="{D5CDD505-2E9C-101B-9397-08002B2CF9AE}" pid="69" name="FSC#CFG@2108.100:dpAkt_1st_Grundstuecknr">
    <vt:lpwstr/>
  </property>
  <property fmtid="{D5CDD505-2E9C-101B-9397-08002B2CF9AE}" pid="70" name="FSC#CFG@2108.100:dpAkt_2nd_Grundstuecknr">
    <vt:lpwstr/>
  </property>
  <property fmtid="{D5CDD505-2E9C-101B-9397-08002B2CF9AE}" pid="71" name="FSC#CFG@2108.100:dpAkt_3rd_Grundstuecknr">
    <vt:lpwstr/>
  </property>
  <property fmtid="{D5CDD505-2E9C-101B-9397-08002B2CF9AE}" pid="72" name="FSC#CFG@2108.100:dpGST_1st_KGNr">
    <vt:lpwstr/>
  </property>
  <property fmtid="{D5CDD505-2E9C-101B-9397-08002B2CF9AE}" pid="73" name="FSC#CFG@2108.100:dpGST_2nd_KGNr">
    <vt:lpwstr/>
  </property>
  <property fmtid="{D5CDD505-2E9C-101B-9397-08002B2CF9AE}" pid="74" name="FSC#CFG@2108.100:dpGST_3rd_KGNr">
    <vt:lpwstr/>
  </property>
  <property fmtid="{D5CDD505-2E9C-101B-9397-08002B2CF9AE}" pid="75" name="FSC#CFG@2108.100:dpGST_1st_KGName">
    <vt:lpwstr/>
  </property>
  <property fmtid="{D5CDD505-2E9C-101B-9397-08002B2CF9AE}" pid="76" name="FSC#CFG@2108.100:dpGST_2nd_KGName">
    <vt:lpwstr/>
  </property>
  <property fmtid="{D5CDD505-2E9C-101B-9397-08002B2CF9AE}" pid="77" name="FSC#CFG@2108.100:dpGST_3rd_KGName">
    <vt:lpwstr/>
  </property>
  <property fmtid="{D5CDD505-2E9C-101B-9397-08002B2CF9AE}" pid="78" name="FSC#CFG@2108.100:dpGST_1st_Einlagezahl">
    <vt:lpwstr/>
  </property>
  <property fmtid="{D5CDD505-2E9C-101B-9397-08002B2CF9AE}" pid="79" name="FSC#CFG@2108.100:dpGST_2nd_Einlagezahl">
    <vt:lpwstr/>
  </property>
  <property fmtid="{D5CDD505-2E9C-101B-9397-08002B2CF9AE}" pid="80" name="FSC#CFG@2108.100:dpGST_3rd_Einlagezahl">
    <vt:lpwstr/>
  </property>
  <property fmtid="{D5CDD505-2E9C-101B-9397-08002B2CF9AE}" pid="81" name="FSC#CFG@2108.100:dpGST_1st_Grundstuecknr">
    <vt:lpwstr/>
  </property>
  <property fmtid="{D5CDD505-2E9C-101B-9397-08002B2CF9AE}" pid="82" name="FSC#CFG@2108.100:dpGST_2nd_Grundstuecknr">
    <vt:lpwstr/>
  </property>
  <property fmtid="{D5CDD505-2E9C-101B-9397-08002B2CF9AE}" pid="83" name="FSC#CFG@2108.100:dpGST_3rd_Grundstuecknr">
    <vt:lpwstr/>
  </property>
  <property fmtid="{D5CDD505-2E9C-101B-9397-08002B2CF9AE}" pid="84" name="FSC#CFG@2108.100:DepartmentPhone">
    <vt:lpwstr>+43 (316) 877-4321</vt:lpwstr>
  </property>
  <property fmtid="{D5CDD505-2E9C-101B-9397-08002B2CF9AE}" pid="85" name="FSC#LSTMKPRECONFIG@1.1001:SubfileNotice">
    <vt:lpwstr/>
  </property>
  <property fmtid="{D5CDD505-2E9C-101B-9397-08002B2CF9AE}" pid="86" name="FSC#CFG@2108.100:dpFirstAddresseeGender">
    <vt:lpwstr/>
  </property>
  <property fmtid="{D5CDD505-2E9C-101B-9397-08002B2CF9AE}" pid="87" name="FSC#CFG@2108.100:dpFirstAddresseeBemerkung">
    <vt:lpwstr/>
  </property>
  <property fmtid="{D5CDD505-2E9C-101B-9397-08002B2CF9AE}" pid="88" name="FSC#CFG@2108.100:dpFirstAddresseeTelefonnummer">
    <vt:lpwstr/>
  </property>
  <property fmtid="{D5CDD505-2E9C-101B-9397-08002B2CF9AE}" pid="89" name="FSC#LSTMKPRECONFIG@1.1001:OperatingDepartment">
    <vt:lpwstr>Abteilung 9</vt:lpwstr>
  </property>
  <property fmtid="{D5CDD505-2E9C-101B-9397-08002B2CF9AE}" pid="90" name="FSC#LSTMKPRECONFIG@1.1001:Office">
    <vt:lpwstr>Abteilung 9 Kultur, Europa, Sport - Referat Kunst, Kulturelles Erbe u Volkskultur</vt:lpwstr>
  </property>
  <property fmtid="{D5CDD505-2E9C-101B-9397-08002B2CF9AE}" pid="91" name="FSC#LSTMKPRECONFIG@1.1001:Agent">
    <vt:lpwstr>Anna-Kristina Haysen, BA MA</vt:lpwstr>
  </property>
  <property fmtid="{D5CDD505-2E9C-101B-9397-08002B2CF9AE}" pid="92" name="FSC#LSTMKPRECONFIG@1.1001:AgentPhone">
    <vt:lpwstr>+43 (316) 877-2651</vt:lpwstr>
  </property>
  <property fmtid="{D5CDD505-2E9C-101B-9397-08002B2CF9AE}" pid="93" name="FSC#LSTMKPRECONFIG@1.1001:AgentFax">
    <vt:lpwstr>+43 (316) 877-3156</vt:lpwstr>
  </property>
  <property fmtid="{D5CDD505-2E9C-101B-9397-08002B2CF9AE}" pid="94" name="FSC#LSTMKPRECONFIG@1.1001:DepartmentFax">
    <vt:lpwstr>+43 (316) 877-3156</vt:lpwstr>
  </property>
  <property fmtid="{D5CDD505-2E9C-101B-9397-08002B2CF9AE}" pid="95" name="FSC#LSTMKPRECONFIG@1.1001:DepartmentEMail">
    <vt:lpwstr>kultur@stmk.gv.at</vt:lpwstr>
  </property>
  <property fmtid="{D5CDD505-2E9C-101B-9397-08002B2CF9AE}" pid="96" name="FSC#LSTMKPRECONFIG@1.1001:SubfileDate">
    <vt:lpwstr>17.05.2024</vt:lpwstr>
  </property>
  <property fmtid="{D5CDD505-2E9C-101B-9397-08002B2CF9AE}" pid="97" name="FSC#LSTMKPRECONFIG@1.1001:SubfileSubject">
    <vt:lpwstr>Datenblatt Fair Pay Steiermark NEU</vt:lpwstr>
  </property>
  <property fmtid="{D5CDD505-2E9C-101B-9397-08002B2CF9AE}" pid="98" name="FSC#LSTMKPRECONFIG@1.1001:SubfileSubjectPart2">
    <vt:lpwstr/>
  </property>
  <property fmtid="{D5CDD505-2E9C-101B-9397-08002B2CF9AE}" pid="99" name="FSC#LSTMKPRECONFIG@1.1001:DepartmentZipCode">
    <vt:lpwstr>8010</vt:lpwstr>
  </property>
  <property fmtid="{D5CDD505-2E9C-101B-9397-08002B2CF9AE}" pid="100" name="FSC#LSTMKPRECONFIG@1.1001:DepartmentCountry">
    <vt:lpwstr/>
  </property>
  <property fmtid="{D5CDD505-2E9C-101B-9397-08002B2CF9AE}" pid="101" name="FSC#LSTMKPRECONFIG@1.1001:DepartmentCity">
    <vt:lpwstr>Graz</vt:lpwstr>
  </property>
  <property fmtid="{D5CDD505-2E9C-101B-9397-08002B2CF9AE}" pid="102" name="FSC#LSTMKPRECONFIG@1.1001:DepartmentStreet">
    <vt:lpwstr>Landhausgasse 7</vt:lpwstr>
  </property>
  <property fmtid="{D5CDD505-2E9C-101B-9397-08002B2CF9AE}" pid="103" name="FSC#LSTMKPRECONFIG@1.1001:DepartmentOfficeHours">
    <vt:lpwstr>Montag bis Freitag von 8:00 bis 12:30 Uhr und nach Terminvereinbarung</vt:lpwstr>
  </property>
  <property fmtid="{D5CDD505-2E9C-101B-9397-08002B2CF9AE}" pid="104" name="FSC#LSTMKPRECONFIG@1.1001:DepartmentBusStop">
    <vt:lpwstr>Öffentliche Verkehrsmittel: Straßenbahn/Buslinie(n) 1,3,4,5,6,7/67 Haltestelle Hauptplatz/Andreas-Hofer-Platz</vt:lpwstr>
  </property>
  <property fmtid="{D5CDD505-2E9C-101B-9397-08002B2CF9AE}" pid="105" name="FSC#LSTMKPRECONFIG@1.1001:DepartmentDVR">
    <vt:lpwstr>https://datenschutz.stmk.gv.at</vt:lpwstr>
  </property>
  <property fmtid="{D5CDD505-2E9C-101B-9397-08002B2CF9AE}" pid="106" name="FSC#LSTMKPRECONFIG@1.1001:DepartmentUID">
    <vt:lpwstr>ATU37001007</vt:lpwstr>
  </property>
  <property fmtid="{D5CDD505-2E9C-101B-9397-08002B2CF9AE}" pid="107" name="FSC#LSTMKPRECONFIG@1.1001:DepartmentGroup">
    <vt:lpwstr>AMT DER STEIERMÄRKISCHEN LANDESREGIERUNG</vt:lpwstr>
  </property>
  <property fmtid="{D5CDD505-2E9C-101B-9397-08002B2CF9AE}" pid="108" name="FSC#LSTMKPRECONFIG@1.1001:OperatingDepartmentDesc">
    <vt:lpwstr>Kultur, Europa, Sport</vt:lpwstr>
  </property>
  <property fmtid="{D5CDD505-2E9C-101B-9397-08002B2CF9AE}" pid="109" name="FSC#LSTMKPRECONFIG@1.1001:OfficeDesc">
    <vt:lpwstr>Referat Kunst, Kulturelles Erbe u Volkskultur</vt:lpwstr>
  </property>
  <property fmtid="{D5CDD505-2E9C-101B-9397-08002B2CF9AE}" pid="110" name="FSC#LSTMKPRECONFIG@1.1001:SubfileReference">
    <vt:lpwstr>ABT09-165939/2021-942</vt:lpwstr>
  </property>
  <property fmtid="{D5CDD505-2E9C-101B-9397-08002B2CF9AE}" pid="111" name="FSC#LSTMKPRECONFIG@1.1001:Clause">
    <vt:lpwstr/>
  </property>
  <property fmtid="{D5CDD505-2E9C-101B-9397-08002B2CF9AE}" pid="112" name="FSC#LSTMKPRECONFIG@1.1001:ClauseUser">
    <vt:lpwstr/>
  </property>
  <property fmtid="{D5CDD505-2E9C-101B-9397-08002B2CF9AE}" pid="113" name="FSC#LSTMKPRECONFIG@1.1001:ExternalFile">
    <vt:lpwstr/>
  </property>
  <property fmtid="{D5CDD505-2E9C-101B-9397-08002B2CF9AE}" pid="114" name="FSC#LSTMKPRECONFIG@1.1001:ApprovedSignature">
    <vt:lpwstr/>
  </property>
  <property fmtid="{D5CDD505-2E9C-101B-9397-08002B2CF9AE}" pid="115" name="FSC#LSTMKPRECONFIG@1.1001:ApprovalList">
    <vt:lpwstr/>
  </property>
  <property fmtid="{D5CDD505-2E9C-101B-9397-08002B2CF9AE}" pid="116" name="FSC#LSTMKPRECONFIG@1.1001:ApprovedAt">
    <vt:lpwstr/>
  </property>
  <property fmtid="{D5CDD505-2E9C-101B-9397-08002B2CF9AE}" pid="117" name="FSC#LSTMKPRECONFIG@1.1001:AuthoritySigned">
    <vt:lpwstr/>
  </property>
  <property fmtid="{D5CDD505-2E9C-101B-9397-08002B2CF9AE}" pid="118" name="FSC#LSTMKFA1B@15.1300:DistributionList">
    <vt:lpwstr/>
  </property>
  <property fmtid="{D5CDD505-2E9C-101B-9397-08002B2CF9AE}" pid="119" name="FSC#LSTMKFA1B@15.1300:DistributionListCopy">
    <vt:lpwstr/>
  </property>
  <property fmtid="{D5CDD505-2E9C-101B-9397-08002B2CF9AE}" pid="120" name="FSC#LSTMKPRECONFIG@1.1001:DistributionListCopyGISA">
    <vt:lpwstr/>
  </property>
  <property fmtid="{D5CDD505-2E9C-101B-9397-08002B2CF9AE}" pid="121" name="FSC#LSTMKA5@15.1300:FileResporg">
    <vt:lpwstr>Abteilung 9 Kultur, Europa, Sport - Stabsstelle Personal, Organisation und Haushaltsführung</vt:lpwstr>
  </property>
  <property fmtid="{D5CDD505-2E9C-101B-9397-08002B2CF9AE}" pid="122" name="FSC#LSTMKA5@15.1300:SubfileResporg">
    <vt:lpwstr>Abteilung 9 Kultur, Europa, Sport - Referat Kunst, Kulturelles Erbe u Volkskultur</vt:lpwstr>
  </property>
  <property fmtid="{D5CDD505-2E9C-101B-9397-08002B2CF9AE}" pid="123" name="FSC#LSTMKA5@15.1300:dpSubfileNr">
    <vt:lpwstr>942</vt:lpwstr>
  </property>
  <property fmtid="{D5CDD505-2E9C-101B-9397-08002B2CF9AE}" pid="124" name="FSC#LSTMKPRECONFIG@1.1001:dpSalutation">
    <vt:lpwstr/>
  </property>
  <property fmtid="{D5CDD505-2E9C-101B-9397-08002B2CF9AE}" pid="125" name="FSC#LSTMKA5@15.1300:dpPersSalutation">
    <vt:lpwstr/>
  </property>
  <property fmtid="{D5CDD505-2E9C-101B-9397-08002B2CF9AE}" pid="126" name="FSC#LSTMKA5@15.1300:dpPersFunkTitle">
    <vt:lpwstr/>
  </property>
  <property fmtid="{D5CDD505-2E9C-101B-9397-08002B2CF9AE}" pid="127" name="FSC#LSTMKA5@15.1300:dpPersUserTitle">
    <vt:lpwstr/>
  </property>
  <property fmtid="{D5CDD505-2E9C-101B-9397-08002B2CF9AE}" pid="128" name="FSC#LSTMKA5@15.1300:dpPersFirstName">
    <vt:lpwstr/>
  </property>
  <property fmtid="{D5CDD505-2E9C-101B-9397-08002B2CF9AE}" pid="129" name="FSC#LSTMKA5@15.1300:dpPersName">
    <vt:lpwstr/>
  </property>
  <property fmtid="{D5CDD505-2E9C-101B-9397-08002B2CF9AE}" pid="130" name="FSC#LSTMKA5@15.1300:dpPersonnelNr">
    <vt:lpwstr/>
  </property>
  <property fmtid="{D5CDD505-2E9C-101B-9397-08002B2CF9AE}" pid="131" name="FSC#LSTMKA5@15.1300:dpPersJobTitle">
    <vt:lpwstr/>
  </property>
  <property fmtid="{D5CDD505-2E9C-101B-9397-08002B2CF9AE}" pid="132" name="FSC#LSTMKA5@15.1300:FirstAddresseeDateOfBirth">
    <vt:lpwstr/>
  </property>
  <property fmtid="{D5CDD505-2E9C-101B-9397-08002B2CF9AE}" pid="133" name="FSC#LSTMKA5@15.1300:FirstAddresseeJob">
    <vt:lpwstr/>
  </property>
  <property fmtid="{D5CDD505-2E9C-101B-9397-08002B2CF9AE}" pid="134" name="FSC#LSTMKA5@15.1300:FirstAddresseePrivate">
    <vt:lpwstr/>
  </property>
  <property fmtid="{D5CDD505-2E9C-101B-9397-08002B2CF9AE}" pid="135" name="FSC#LSTMKA5@15.1300:FirstAddresseeAddressPrivateWN">
    <vt:lpwstr/>
  </property>
  <property fmtid="{D5CDD505-2E9C-101B-9397-08002B2CF9AE}" pid="136" name="FSC#LSTMKA5@15.1300:FirstAddresseeFile">
    <vt:lpwstr/>
  </property>
  <property fmtid="{D5CDD505-2E9C-101B-9397-08002B2CF9AE}" pid="137" name="FSC#LSTMKA5@15.1300:FirstAddresseeFileAddress">
    <vt:lpwstr/>
  </property>
  <property fmtid="{D5CDD505-2E9C-101B-9397-08002B2CF9AE}" pid="138" name="FSC#LSTMKA5@15.1300:FirstAddresseeFileAddressPrivate">
    <vt:lpwstr/>
  </property>
  <property fmtid="{D5CDD505-2E9C-101B-9397-08002B2CF9AE}" pid="139" name="FSC#LSTMKPRECONFIG@1.1001:FileELAKKey">
    <vt:lpwstr/>
  </property>
  <property fmtid="{D5CDD505-2E9C-101B-9397-08002B2CF9AE}" pid="140" name="FSC#LSTMKERS@15.1700:DecisionDate">
    <vt:lpwstr/>
  </property>
  <property fmtid="{D5CDD505-2E9C-101B-9397-08002B2CF9AE}" pid="141" name="FSC#LSTMKERS@15.1700:CaucusNumber">
    <vt:lpwstr/>
  </property>
  <property fmtid="{D5CDD505-2E9C-101B-9397-08002B2CF9AE}" pid="142" name="FSC#LSTMKERS@15.1700:BureauHead">
    <vt:lpwstr/>
  </property>
  <property fmtid="{D5CDD505-2E9C-101B-9397-08002B2CF9AE}" pid="143" name="FSC#LSTMKERS@15.1700:FurtherRelations">
    <vt:lpwstr/>
  </property>
  <property fmtid="{D5CDD505-2E9C-101B-9397-08002B2CF9AE}" pid="144" name="FSC#COOELAK@1.1001:Subject">
    <vt:lpwstr>Kulturstrategie 2030 (bis 31.12.2024)</vt:lpwstr>
  </property>
  <property fmtid="{D5CDD505-2E9C-101B-9397-08002B2CF9AE}" pid="145" name="FSC#COOELAK@1.1001:FileReference">
    <vt:lpwstr>ABT09-165939/2021</vt:lpwstr>
  </property>
  <property fmtid="{D5CDD505-2E9C-101B-9397-08002B2CF9AE}" pid="146" name="FSC#COOELAK@1.1001:FileRefYear">
    <vt:lpwstr>2021</vt:lpwstr>
  </property>
  <property fmtid="{D5CDD505-2E9C-101B-9397-08002B2CF9AE}" pid="147" name="FSC#COOELAK@1.1001:FileRefOrdinal">
    <vt:lpwstr>165939</vt:lpwstr>
  </property>
  <property fmtid="{D5CDD505-2E9C-101B-9397-08002B2CF9AE}" pid="148" name="FSC#COOELAK@1.1001:FileRefOU">
    <vt:lpwstr>ABT09</vt:lpwstr>
  </property>
  <property fmtid="{D5CDD505-2E9C-101B-9397-08002B2CF9AE}" pid="149" name="FSC#COOELAK@1.1001:Organization">
    <vt:lpwstr/>
  </property>
  <property fmtid="{D5CDD505-2E9C-101B-9397-08002B2CF9AE}" pid="150" name="FSC#COOELAK@1.1001:Owner">
    <vt:lpwstr>Anna-Kristina Haysen, BA MA</vt:lpwstr>
  </property>
  <property fmtid="{D5CDD505-2E9C-101B-9397-08002B2CF9AE}" pid="151" name="FSC#COOELAK@1.1001:OwnerExtension">
    <vt:lpwstr>2651</vt:lpwstr>
  </property>
  <property fmtid="{D5CDD505-2E9C-101B-9397-08002B2CF9AE}" pid="152" name="FSC#COOELAK@1.1001:OwnerFaxExtension">
    <vt:lpwstr>3156</vt:lpwstr>
  </property>
  <property fmtid="{D5CDD505-2E9C-101B-9397-08002B2CF9AE}" pid="153" name="FSC#COOELAK@1.1001:DispatchedBy">
    <vt:lpwstr/>
  </property>
  <property fmtid="{D5CDD505-2E9C-101B-9397-08002B2CF9AE}" pid="154" name="FSC#COOELAK@1.1001:DispatchedAt">
    <vt:lpwstr/>
  </property>
  <property fmtid="{D5CDD505-2E9C-101B-9397-08002B2CF9AE}" pid="155" name="FSC#COOELAK@1.1001:ApprovedBy">
    <vt:lpwstr/>
  </property>
  <property fmtid="{D5CDD505-2E9C-101B-9397-08002B2CF9AE}" pid="156" name="FSC#COOELAK@1.1001:ApprovedAt">
    <vt:lpwstr/>
  </property>
  <property fmtid="{D5CDD505-2E9C-101B-9397-08002B2CF9AE}" pid="157" name="FSC#COOELAK@1.1001:Department">
    <vt:lpwstr>ABT09-7.0 (Abteilung 9 Kultur, Europa, Sport - Referat Kunst, Kulturelles Erbe u Volkskultur)</vt:lpwstr>
  </property>
  <property fmtid="{D5CDD505-2E9C-101B-9397-08002B2CF9AE}" pid="158" name="FSC#COOELAK@1.1001:CreatedAt">
    <vt:lpwstr>17.05.2024</vt:lpwstr>
  </property>
  <property fmtid="{D5CDD505-2E9C-101B-9397-08002B2CF9AE}" pid="159" name="FSC#COOELAK@1.1001:OU">
    <vt:lpwstr>ABT09-7.0 (Abteilung 9 Kultur, Europa, Sport - Referat Kunst, Kulturelles Erbe u Volkskultur)</vt:lpwstr>
  </property>
  <property fmtid="{D5CDD505-2E9C-101B-9397-08002B2CF9AE}" pid="160" name="FSC#COOELAK@1.1001:Priority">
    <vt:lpwstr> ()</vt:lpwstr>
  </property>
  <property fmtid="{D5CDD505-2E9C-101B-9397-08002B2CF9AE}" pid="161" name="FSC#COOELAK@1.1001:ObjBarCode">
    <vt:lpwstr>*COO.2108.106.29.10410680*</vt:lpwstr>
  </property>
  <property fmtid="{D5CDD505-2E9C-101B-9397-08002B2CF9AE}" pid="162" name="FSC#COOELAK@1.1001:RefBarCode">
    <vt:lpwstr>*COO.2108.106.27.10410689*</vt:lpwstr>
  </property>
  <property fmtid="{D5CDD505-2E9C-101B-9397-08002B2CF9AE}" pid="163" name="FSC#COOELAK@1.1001:FileRefBarCode">
    <vt:lpwstr>*ABT09-165939/2021*</vt:lpwstr>
  </property>
  <property fmtid="{D5CDD505-2E9C-101B-9397-08002B2CF9AE}" pid="164" name="FSC#COOELAK@1.1001:ExternalRef">
    <vt:lpwstr/>
  </property>
  <property fmtid="{D5CDD505-2E9C-101B-9397-08002B2CF9AE}" pid="165" name="FSC#COOELAK@1.1001:IncomingNumber">
    <vt:lpwstr/>
  </property>
  <property fmtid="{D5CDD505-2E9C-101B-9397-08002B2CF9AE}" pid="166" name="FSC#COOELAK@1.1001:IncomingSubject">
    <vt:lpwstr/>
  </property>
  <property fmtid="{D5CDD505-2E9C-101B-9397-08002B2CF9AE}" pid="167" name="FSC#COOELAK@1.1001:ProcessResponsible">
    <vt:lpwstr/>
  </property>
  <property fmtid="{D5CDD505-2E9C-101B-9397-08002B2CF9AE}" pid="168" name="FSC#COOELAK@1.1001:ProcessResponsiblePhone">
    <vt:lpwstr/>
  </property>
  <property fmtid="{D5CDD505-2E9C-101B-9397-08002B2CF9AE}" pid="169" name="FSC#COOELAK@1.1001:ProcessResponsibleMail">
    <vt:lpwstr/>
  </property>
  <property fmtid="{D5CDD505-2E9C-101B-9397-08002B2CF9AE}" pid="170" name="FSC#COOELAK@1.1001:ProcessResponsibleFax">
    <vt:lpwstr/>
  </property>
  <property fmtid="{D5CDD505-2E9C-101B-9397-08002B2CF9AE}" pid="171" name="FSC#COOELAK@1.1001:ApproverFirstName">
    <vt:lpwstr/>
  </property>
  <property fmtid="{D5CDD505-2E9C-101B-9397-08002B2CF9AE}" pid="172" name="FSC#COOELAK@1.1001:ApproverSurName">
    <vt:lpwstr/>
  </property>
  <property fmtid="{D5CDD505-2E9C-101B-9397-08002B2CF9AE}" pid="173" name="FSC#COOELAK@1.1001:ApproverTitle">
    <vt:lpwstr/>
  </property>
  <property fmtid="{D5CDD505-2E9C-101B-9397-08002B2CF9AE}" pid="174" name="FSC#COOELAK@1.1001:ExternalDate">
    <vt:lpwstr/>
  </property>
  <property fmtid="{D5CDD505-2E9C-101B-9397-08002B2CF9AE}" pid="175" name="FSC#COOELAK@1.1001:SettlementApprovedAt">
    <vt:lpwstr/>
  </property>
  <property fmtid="{D5CDD505-2E9C-101B-9397-08002B2CF9AE}" pid="176" name="FSC#COOELAK@1.1001:BaseNumber">
    <vt:lpwstr>KU-FO.10</vt:lpwstr>
  </property>
  <property fmtid="{D5CDD505-2E9C-101B-9397-08002B2CF9AE}" pid="177" name="FSC#COOELAK@1.1001:CurrentUserRolePos">
    <vt:lpwstr>Bearbeiter/in</vt:lpwstr>
  </property>
  <property fmtid="{D5CDD505-2E9C-101B-9397-08002B2CF9AE}" pid="178" name="FSC#COOELAK@1.1001:CurrentUserEmail">
    <vt:lpwstr>anna-kristina.haysen@stmk.gv.at</vt:lpwstr>
  </property>
  <property fmtid="{D5CDD505-2E9C-101B-9397-08002B2CF9AE}" pid="179" name="FSC#ELAKGOV@1.1001:PersonalSubjGender">
    <vt:lpwstr/>
  </property>
  <property fmtid="{D5CDD505-2E9C-101B-9397-08002B2CF9AE}" pid="180" name="FSC#ELAKGOV@1.1001:PersonalSubjFirstName">
    <vt:lpwstr/>
  </property>
  <property fmtid="{D5CDD505-2E9C-101B-9397-08002B2CF9AE}" pid="181" name="FSC#ELAKGOV@1.1001:PersonalSubjSurName">
    <vt:lpwstr/>
  </property>
  <property fmtid="{D5CDD505-2E9C-101B-9397-08002B2CF9AE}" pid="182" name="FSC#ELAKGOV@1.1001:PersonalSubjSalutation">
    <vt:lpwstr/>
  </property>
  <property fmtid="{D5CDD505-2E9C-101B-9397-08002B2CF9AE}" pid="183" name="FSC#ELAKGOV@1.1001:PersonalSubjAddress">
    <vt:lpwstr/>
  </property>
  <property fmtid="{D5CDD505-2E9C-101B-9397-08002B2CF9AE}" pid="184" name="FSC#ATSTATECFG@1.1001:Office">
    <vt:lpwstr>Abteilung 9 Kultur, Europa, Sport - Referat Kunst, Kulturelles Erbe u Volkskultur</vt:lpwstr>
  </property>
  <property fmtid="{D5CDD505-2E9C-101B-9397-08002B2CF9AE}" pid="185" name="FSC#ATSTATECFG@1.1001:Agent">
    <vt:lpwstr>Anna-Kristina Haysen, BA MA</vt:lpwstr>
  </property>
  <property fmtid="{D5CDD505-2E9C-101B-9397-08002B2CF9AE}" pid="186" name="FSC#ATSTATECFG@1.1001:AgentPhone">
    <vt:lpwstr>+43 (316) 877-2651</vt:lpwstr>
  </property>
  <property fmtid="{D5CDD505-2E9C-101B-9397-08002B2CF9AE}" pid="187" name="FSC#ATSTATECFG@1.1001:DepartmentFax">
    <vt:lpwstr>+43 (316) 877-3156</vt:lpwstr>
  </property>
  <property fmtid="{D5CDD505-2E9C-101B-9397-08002B2CF9AE}" pid="188" name="FSC#ATSTATECFG@1.1001:DepartmentEmail">
    <vt:lpwstr>kultur@stmk.gv.at</vt:lpwstr>
  </property>
  <property fmtid="{D5CDD505-2E9C-101B-9397-08002B2CF9AE}" pid="189" name="FSC#ATSTATECFG@1.1001:SubfileDate">
    <vt:lpwstr>17.05.2024</vt:lpwstr>
  </property>
  <property fmtid="{D5CDD505-2E9C-101B-9397-08002B2CF9AE}" pid="190" name="FSC#ATSTATECFG@1.1001:SubfileSubject">
    <vt:lpwstr>Datenblatt Fair Pay Steiermark NEU</vt:lpwstr>
  </property>
  <property fmtid="{D5CDD505-2E9C-101B-9397-08002B2CF9AE}" pid="191" name="FSC#ATSTATECFG@1.1001:DepartmentZipCode">
    <vt:lpwstr>8010</vt:lpwstr>
  </property>
  <property fmtid="{D5CDD505-2E9C-101B-9397-08002B2CF9AE}" pid="192" name="FSC#ATSTATECFG@1.1001:DepartmentCountry">
    <vt:lpwstr/>
  </property>
  <property fmtid="{D5CDD505-2E9C-101B-9397-08002B2CF9AE}" pid="193" name="FSC#ATSTATECFG@1.1001:DepartmentCity">
    <vt:lpwstr>Graz</vt:lpwstr>
  </property>
  <property fmtid="{D5CDD505-2E9C-101B-9397-08002B2CF9AE}" pid="194" name="FSC#ATSTATECFG@1.1001:DepartmentStreet">
    <vt:lpwstr>Landhausgasse 7</vt:lpwstr>
  </property>
  <property fmtid="{D5CDD505-2E9C-101B-9397-08002B2CF9AE}" pid="195" name="FSC#CCAPRECONFIGG@15.1001:DepartmentON">
    <vt:lpwstr/>
  </property>
  <property fmtid="{D5CDD505-2E9C-101B-9397-08002B2CF9AE}" pid="196" name="FSC#CCAPRECONFIGG@15.1001:DepartmentWebsite">
    <vt:lpwstr>http://verwaltung.steiermark.at</vt:lpwstr>
  </property>
  <property fmtid="{D5CDD505-2E9C-101B-9397-08002B2CF9AE}" pid="197" name="FSC#ATSTATECFG@1.1001:DepartmentDVR">
    <vt:lpwstr>https://datenschutz.stmk.gv.at</vt:lpwstr>
  </property>
  <property fmtid="{D5CDD505-2E9C-101B-9397-08002B2CF9AE}" pid="198" name="FSC#ATSTATECFG@1.1001:DepartmentUID">
    <vt:lpwstr>ATU37001007</vt:lpwstr>
  </property>
  <property fmtid="{D5CDD505-2E9C-101B-9397-08002B2CF9AE}" pid="199" name="FSC#ATSTATECFG@1.1001:SubfileReference">
    <vt:lpwstr>ABT09-165939/2021-942</vt:lpwstr>
  </property>
  <property fmtid="{D5CDD505-2E9C-101B-9397-08002B2CF9AE}" pid="200" name="FSC#ATSTATECFG@1.1001:Clause">
    <vt:lpwstr/>
  </property>
  <property fmtid="{D5CDD505-2E9C-101B-9397-08002B2CF9AE}" pid="201" name="FSC#ATSTATECFG@1.1001:ApprovedSignature">
    <vt:lpwstr/>
  </property>
  <property fmtid="{D5CDD505-2E9C-101B-9397-08002B2CF9AE}" pid="202" name="FSC#ATSTATECFG@1.1001:BankAccount">
    <vt:lpwstr/>
  </property>
  <property fmtid="{D5CDD505-2E9C-101B-9397-08002B2CF9AE}" pid="203" name="FSC#ATSTATECFG@1.1001:BankAccountOwner">
    <vt:lpwstr/>
  </property>
  <property fmtid="{D5CDD505-2E9C-101B-9397-08002B2CF9AE}" pid="204" name="FSC#ATSTATECFG@1.1001:BankInstitute">
    <vt:lpwstr>Raiffeisen-Landesbank Steiermark AG</vt:lpwstr>
  </property>
  <property fmtid="{D5CDD505-2E9C-101B-9397-08002B2CF9AE}" pid="205" name="FSC#ATSTATECFG@1.1001:BankAccountID">
    <vt:lpwstr/>
  </property>
  <property fmtid="{D5CDD505-2E9C-101B-9397-08002B2CF9AE}" pid="206" name="FSC#ATSTATECFG@1.1001:BankAccountIBAN">
    <vt:lpwstr>AT023800090004105201</vt:lpwstr>
  </property>
  <property fmtid="{D5CDD505-2E9C-101B-9397-08002B2CF9AE}" pid="207" name="FSC#ATSTATECFG@1.1001:BankAccountBIC">
    <vt:lpwstr>RZSTAT2G</vt:lpwstr>
  </property>
  <property fmtid="{D5CDD505-2E9C-101B-9397-08002B2CF9AE}" pid="208" name="FSC#ATSTATECFG@1.1001:BankName">
    <vt:lpwstr/>
  </property>
  <property fmtid="{D5CDD505-2E9C-101B-9397-08002B2CF9AE}" pid="209" name="FSC#COOELAK@1.1001:ObjectAddressees">
    <vt:lpwstr/>
  </property>
  <property fmtid="{D5CDD505-2E9C-101B-9397-08002B2CF9AE}" pid="210" name="FSC#COOELAK@1.1001:replyreference">
    <vt:lpwstr/>
  </property>
  <property fmtid="{D5CDD505-2E9C-101B-9397-08002B2CF9AE}" pid="211" name="FSC#COOELAK@1.1001:OfficeHours">
    <vt:lpwstr/>
  </property>
  <property fmtid="{D5CDD505-2E9C-101B-9397-08002B2CF9AE}" pid="212" name="FSC#COOELAK@1.1001:FileRefOULong">
    <vt:lpwstr>Abteilung 9 Kultur, Europa, Sport</vt:lpwstr>
  </property>
  <property fmtid="{D5CDD505-2E9C-101B-9397-08002B2CF9AE}" pid="213" name="FSC#ATPRECONFIG@1.1001:ChargePreview">
    <vt:lpwstr/>
  </property>
  <property fmtid="{D5CDD505-2E9C-101B-9397-08002B2CF9AE}" pid="214" name="FSC#ATSTATECFG@1.1001:ExternalFile">
    <vt:lpwstr>Bezug: </vt:lpwstr>
  </property>
  <property fmtid="{D5CDD505-2E9C-101B-9397-08002B2CF9AE}" pid="215" name="FSC#COOSYSTEM@1.1:Container">
    <vt:lpwstr>COO.2108.106.29.10410680</vt:lpwstr>
  </property>
  <property fmtid="{D5CDD505-2E9C-101B-9397-08002B2CF9AE}" pid="216" name="FSC#FSCFOLIO@1.1001:docpropproject">
    <vt:lpwstr/>
  </property>
  <property fmtid="{D5CDD505-2E9C-101B-9397-08002B2CF9AE}" pid="217" name="FSC#CFG@2108.100:SAP_FI_NRInternes Stück">
    <vt:lpwstr> </vt:lpwstr>
  </property>
  <property fmtid="{D5CDD505-2E9C-101B-9397-08002B2CF9AE}" pid="218" name="FSC#CFG@2108.100:SAP_FI_NRGeschäftsfall">
    <vt:lpwstr> </vt:lpwstr>
  </property>
</Properties>
</file>